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9090" activeTab="1"/>
  </bookViews>
  <sheets>
    <sheet name="Házis." sheetId="1" r:id="rId1"/>
    <sheet name="Tagok3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H63" i="1"/>
  <c r="E64" s="1"/>
  <c r="H64" s="1"/>
  <c r="F62"/>
  <c r="H61"/>
  <c r="E50"/>
  <c r="H50" s="1"/>
  <c r="H49"/>
  <c r="F46"/>
  <c r="H46" s="1"/>
  <c r="H45"/>
  <c r="F44"/>
  <c r="H32"/>
  <c r="H30"/>
  <c r="H29"/>
  <c r="H28"/>
  <c r="H27"/>
  <c r="H33" s="1"/>
  <c r="Q36" i="2"/>
  <c r="O36"/>
  <c r="L36"/>
  <c r="I36"/>
  <c r="H36"/>
  <c r="F36"/>
  <c r="B36"/>
  <c r="U7"/>
  <c r="S6"/>
  <c r="S8" s="1"/>
  <c r="R6"/>
  <c r="R8" s="1"/>
  <c r="P6"/>
  <c r="Q8" s="1"/>
  <c r="N6"/>
  <c r="O8" s="1"/>
  <c r="K6"/>
  <c r="M8" s="1"/>
  <c r="J6"/>
  <c r="J8" s="1"/>
  <c r="E6"/>
  <c r="F8" s="1"/>
  <c r="C6"/>
  <c r="U6" s="1"/>
  <c r="U5"/>
  <c r="U4"/>
  <c r="H62" i="1"/>
  <c r="H57"/>
  <c r="H56"/>
  <c r="H55"/>
  <c r="H54"/>
  <c r="H47"/>
  <c r="E48" s="1"/>
  <c r="H48" s="1"/>
  <c r="H44"/>
  <c r="H43"/>
  <c r="H38"/>
  <c r="H37"/>
  <c r="H36"/>
  <c r="H35"/>
  <c r="O29"/>
  <c r="K29"/>
  <c r="L23" s="1"/>
  <c r="N23" s="1"/>
  <c r="M28"/>
  <c r="L26"/>
  <c r="N26" s="1"/>
  <c r="H23"/>
  <c r="L22"/>
  <c r="N22" s="1"/>
  <c r="H22"/>
  <c r="H21"/>
  <c r="H20"/>
  <c r="M13"/>
  <c r="L13"/>
  <c r="D13"/>
  <c r="C13"/>
  <c r="B13"/>
  <c r="M12"/>
  <c r="L12"/>
  <c r="E11"/>
  <c r="G11" s="1"/>
  <c r="E10"/>
  <c r="G10" s="1"/>
  <c r="I10" s="1"/>
  <c r="M10" s="1"/>
  <c r="E9"/>
  <c r="G9" s="1"/>
  <c r="I9" s="1"/>
  <c r="M9" s="1"/>
  <c r="E8"/>
  <c r="G8" s="1"/>
  <c r="I8" s="1"/>
  <c r="M8" s="1"/>
  <c r="E7"/>
  <c r="G7" s="1"/>
  <c r="I7" s="1"/>
  <c r="M7" s="1"/>
  <c r="E6"/>
  <c r="G6" s="1"/>
  <c r="I6" s="1"/>
  <c r="H51" l="1"/>
  <c r="N12"/>
  <c r="M33" i="2"/>
  <c r="M15"/>
  <c r="M13"/>
  <c r="M11"/>
  <c r="M22"/>
  <c r="F7" i="1"/>
  <c r="H7" s="1"/>
  <c r="L7" s="1"/>
  <c r="N7" s="1"/>
  <c r="F9"/>
  <c r="H9" s="1"/>
  <c r="L9" s="1"/>
  <c r="N9" s="1"/>
  <c r="F11"/>
  <c r="E13"/>
  <c r="G13" s="1"/>
  <c r="H24"/>
  <c r="L24"/>
  <c r="N24" s="1"/>
  <c r="L28"/>
  <c r="N28" s="1"/>
  <c r="D8" i="2"/>
  <c r="D28" s="1"/>
  <c r="L25" i="1"/>
  <c r="N25" s="1"/>
  <c r="H39"/>
  <c r="H58"/>
  <c r="H65"/>
  <c r="T8" i="2"/>
  <c r="L27" i="1"/>
  <c r="N27" s="1"/>
  <c r="F6"/>
  <c r="H6" s="1"/>
  <c r="F8"/>
  <c r="H8" s="1"/>
  <c r="L8" s="1"/>
  <c r="N8" s="1"/>
  <c r="F10"/>
  <c r="H10" s="1"/>
  <c r="L10" s="1"/>
  <c r="N10" s="1"/>
  <c r="N13"/>
  <c r="J12" i="2"/>
  <c r="J28"/>
  <c r="J22"/>
  <c r="J11"/>
  <c r="J34"/>
  <c r="J31"/>
  <c r="J24"/>
  <c r="J20"/>
  <c r="J19"/>
  <c r="J18"/>
  <c r="J23"/>
  <c r="J14"/>
  <c r="T34"/>
  <c r="T33"/>
  <c r="T32"/>
  <c r="T31"/>
  <c r="T30"/>
  <c r="T29"/>
  <c r="U29" s="1"/>
  <c r="T25"/>
  <c r="T24"/>
  <c r="T23"/>
  <c r="T20"/>
  <c r="T19"/>
  <c r="T18"/>
  <c r="T17"/>
  <c r="T35"/>
  <c r="U35" s="1"/>
  <c r="T28"/>
  <c r="T16"/>
  <c r="U16" s="1"/>
  <c r="T26"/>
  <c r="T22"/>
  <c r="T15"/>
  <c r="T14"/>
  <c r="T13"/>
  <c r="T12"/>
  <c r="T11"/>
  <c r="T27"/>
  <c r="T21"/>
  <c r="U21" s="1"/>
  <c r="D20"/>
  <c r="U20" s="1"/>
  <c r="D25"/>
  <c r="D34"/>
  <c r="U34" s="1"/>
  <c r="U8"/>
  <c r="M23"/>
  <c r="M25"/>
  <c r="M30"/>
  <c r="M32"/>
  <c r="D13"/>
  <c r="U13" s="1"/>
  <c r="D14"/>
  <c r="D27"/>
  <c r="U27" s="1"/>
  <c r="D18"/>
  <c r="D31"/>
  <c r="U31" s="1"/>
  <c r="D33"/>
  <c r="U33" s="1"/>
  <c r="L6" i="1"/>
  <c r="M6"/>
  <c r="I11"/>
  <c r="M11" s="1"/>
  <c r="U28" i="2" l="1"/>
  <c r="H68" i="1"/>
  <c r="U18" i="2"/>
  <c r="U14"/>
  <c r="H11" i="1"/>
  <c r="L11" s="1"/>
  <c r="F13"/>
  <c r="N29"/>
  <c r="D22" i="2"/>
  <c r="U22" s="1"/>
  <c r="D26"/>
  <c r="U26" s="1"/>
  <c r="D23"/>
  <c r="U23" s="1"/>
  <c r="D12"/>
  <c r="M36"/>
  <c r="D32"/>
  <c r="U32" s="1"/>
  <c r="D19"/>
  <c r="U19" s="1"/>
  <c r="N11" i="1"/>
  <c r="D11" i="2"/>
  <c r="D24"/>
  <c r="U24" s="1"/>
  <c r="D15"/>
  <c r="U15" s="1"/>
  <c r="D17"/>
  <c r="D30"/>
  <c r="U25"/>
  <c r="U11"/>
  <c r="U17"/>
  <c r="U30"/>
  <c r="T36"/>
  <c r="U12"/>
  <c r="J36"/>
  <c r="N6" i="1"/>
  <c r="U36" i="2" l="1"/>
  <c r="D36"/>
  <c r="L30" i="1"/>
</calcChain>
</file>

<file path=xl/sharedStrings.xml><?xml version="1.0" encoding="utf-8"?>
<sst xmlns="http://schemas.openxmlformats.org/spreadsheetml/2006/main" count="345" uniqueCount="104">
  <si>
    <t>Bevételek számítása</t>
  </si>
  <si>
    <t>Település megnevezése</t>
  </si>
  <si>
    <t>Házi s.nyújtás elszámolás 2016.</t>
  </si>
  <si>
    <t>Ellátottak száma 2017.</t>
  </si>
  <si>
    <t>Összes ellátott 2017</t>
  </si>
  <si>
    <t>Tevékenység aránya 2017</t>
  </si>
  <si>
    <t>2017 évi igényelt létszám felosztása</t>
  </si>
  <si>
    <t>Állami támogatás összege Ft/Mutató</t>
  </si>
  <si>
    <t>Állami támogatás összege</t>
  </si>
  <si>
    <t>Támogatás összesen</t>
  </si>
  <si>
    <t>Szoc. Segítésben részesülők száma</t>
  </si>
  <si>
    <t>Szociális s. tevékenységeit is magába foglaló személyi gondozás</t>
  </si>
  <si>
    <t xml:space="preserve">Szoc. Segítésben részesülők aránya </t>
  </si>
  <si>
    <t>Szociális s. tevékenységeit is magába foglaló személyi gondozás aránya</t>
  </si>
  <si>
    <t>Szociális segítés</t>
  </si>
  <si>
    <t>Cikó</t>
  </si>
  <si>
    <t>Grábóc</t>
  </si>
  <si>
    <t>Lengyel</t>
  </si>
  <si>
    <t>Mőcsény</t>
  </si>
  <si>
    <t xml:space="preserve">Tevel </t>
  </si>
  <si>
    <t>Bonyhád</t>
  </si>
  <si>
    <t>Mórágy</t>
  </si>
  <si>
    <t>Öszesen:</t>
  </si>
  <si>
    <t>Kiadások számítása</t>
  </si>
  <si>
    <t>Cikó:</t>
  </si>
  <si>
    <t>1 fő 4 órás közalkalmazott:</t>
  </si>
  <si>
    <t xml:space="preserve">Bér 1 hóra 129000, 11 hóra 161000 Ft </t>
  </si>
  <si>
    <t>Bevételek összege</t>
  </si>
  <si>
    <t>Saját bevétel</t>
  </si>
  <si>
    <t>Kiadások összege</t>
  </si>
  <si>
    <t>Hozzájárulás összege</t>
  </si>
  <si>
    <t xml:space="preserve">Ezer Ft-ban </t>
  </si>
  <si>
    <t>Járulék: 1 hóra 27 %, 11 hóra 22 %</t>
  </si>
  <si>
    <t>Étkezési hozzájárulás: 5.000 Ft/hó</t>
  </si>
  <si>
    <t>Járulékteher.</t>
  </si>
  <si>
    <t>Kiadás összesen:</t>
  </si>
  <si>
    <t xml:space="preserve">Grábóc: </t>
  </si>
  <si>
    <t>Lengyel:</t>
  </si>
  <si>
    <t xml:space="preserve">Bér 1 hóra 64500, 11 hóra 80500 Ft </t>
  </si>
  <si>
    <t>Mőcsény:</t>
  </si>
  <si>
    <t xml:space="preserve">Tevel: </t>
  </si>
  <si>
    <t xml:space="preserve">Mórágy: </t>
  </si>
  <si>
    <t>TAGOK 3. 2017. ÉV</t>
  </si>
  <si>
    <t>Feladatok</t>
  </si>
  <si>
    <t>Lakosság-szám 2015.01.01.     KEKKH</t>
  </si>
  <si>
    <t xml:space="preserve">Támogató szolgálat. </t>
  </si>
  <si>
    <t>Hozzá-járulás összege</t>
  </si>
  <si>
    <t xml:space="preserve">Idősek Otthona </t>
  </si>
  <si>
    <t>Házi segítség-nyújtás</t>
  </si>
  <si>
    <t xml:space="preserve">Házis segít-ségnyújtás - szociális segítés </t>
  </si>
  <si>
    <t>Házi segítség-nyújtás - személyi gondozás- társulás általi feladat-ellátás</t>
  </si>
  <si>
    <t>Hozzá-járulás a házi segítség-nyújtáshoz összesen</t>
  </si>
  <si>
    <t xml:space="preserve">Jelzőrend-szeres házi segítség-nyújtás </t>
  </si>
  <si>
    <t>Ellátot-tak száma</t>
  </si>
  <si>
    <t xml:space="preserve">Étkeztetés és nappali ellátás </t>
  </si>
  <si>
    <t xml:space="preserve">Tanya-gondnoki szolgál-tatás </t>
  </si>
  <si>
    <t>Család és gyermek-jóléti szolgálat</t>
  </si>
  <si>
    <t>Család és gyermek-jóléti központ</t>
  </si>
  <si>
    <t>ÖSSZESEN</t>
  </si>
  <si>
    <t>Állami támogatás</t>
  </si>
  <si>
    <t>Bevételek összeen</t>
  </si>
  <si>
    <t>Kiadások</t>
  </si>
  <si>
    <t>Különbözet:</t>
  </si>
  <si>
    <t>Aparhant</t>
  </si>
  <si>
    <t>x</t>
  </si>
  <si>
    <t>–</t>
  </si>
  <si>
    <t>Bátaapáti</t>
  </si>
  <si>
    <t>Bonyhádvarasd</t>
  </si>
  <si>
    <t>Felsőnána</t>
  </si>
  <si>
    <t>Györe</t>
  </si>
  <si>
    <t>Izmény</t>
  </si>
  <si>
    <t>Kakasd</t>
  </si>
  <si>
    <t>Kéty</t>
  </si>
  <si>
    <t>Kisdorog</t>
  </si>
  <si>
    <t>Kismányok</t>
  </si>
  <si>
    <t>Kisvejke</t>
  </si>
  <si>
    <t>Mucsfa</t>
  </si>
  <si>
    <t>Murga</t>
  </si>
  <si>
    <t>Nagymányok</t>
  </si>
  <si>
    <t>Nagyvejke</t>
  </si>
  <si>
    <t>Tevel</t>
  </si>
  <si>
    <t>Váralja</t>
  </si>
  <si>
    <t>Závod</t>
  </si>
  <si>
    <t>Zomba</t>
  </si>
  <si>
    <t>Összesen</t>
  </si>
  <si>
    <t>Szolgáltatás 2017. február 10-ig, 30 nap</t>
  </si>
  <si>
    <t>Havi bér 161000 Ft/22 nap/8órax30 nap</t>
  </si>
  <si>
    <t>Járuléka: 22 %</t>
  </si>
  <si>
    <t>Étkezési hozzájárulás: 5000 Ft/8óra/22napx30nap</t>
  </si>
  <si>
    <t>Étkezési hozzájárulás járuléka</t>
  </si>
  <si>
    <t>Szállítás: napi 8 km x 145 Ft/km, 30 nap</t>
  </si>
  <si>
    <t>1 fő 8 órás közalkalm. 2017.01.01-2017.03.31-ig</t>
  </si>
  <si>
    <t xml:space="preserve">1 fő 6 órás közalkalm.2017.04.01-től </t>
  </si>
  <si>
    <t>Bér 1 hóra 129000, 3 hóra 161000</t>
  </si>
  <si>
    <t>Járulék: 1 hóra 27 %, 3 hóra 22 %</t>
  </si>
  <si>
    <t>Bér 04.01-től  8 hóra, 6 órára</t>
  </si>
  <si>
    <t>Járulék: 22 %</t>
  </si>
  <si>
    <t>Étk.hj: 5.000 Ft/hó 3 hónapra</t>
  </si>
  <si>
    <t>852 alap, 1,18 szorzó, 29 % mérték</t>
  </si>
  <si>
    <t>Járulékteher</t>
  </si>
  <si>
    <t>Étk.hj. 6 órás állásra 9 hóra</t>
  </si>
  <si>
    <t>1 fő 4 órás  foglalkoztatás 03.15-től</t>
  </si>
  <si>
    <t>Bér 8,5 hónapra 0,5 főre számítva</t>
  </si>
  <si>
    <t>Étk.hj. 9,5 hóra, 4 órás állásra</t>
  </si>
</sst>
</file>

<file path=xl/styles.xml><?xml version="1.0" encoding="utf-8"?>
<styleSheet xmlns="http://schemas.openxmlformats.org/spreadsheetml/2006/main">
  <numFmts count="4">
    <numFmt numFmtId="43" formatCode="_-* #,##0.00\ _F_t_-;\-* #,##0.00\ _F_t_-;_-* &quot;-&quot;??\ _F_t_-;_-@_-"/>
    <numFmt numFmtId="164" formatCode="0.0000"/>
    <numFmt numFmtId="165" formatCode="_-* #,##0\ _F_t_-;\-* #,##0\ _F_t_-;_-* &quot;-&quot;??\ _F_t_-;_-@_-"/>
    <numFmt numFmtId="166" formatCode="_-* #,##0.000\ _F_t_-;\-* #,##0.000\ _F_t_-;_-* &quot;-&quot;??\ _F_t_-;_-@_-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8"/>
      <name val="Arial"/>
      <family val="2"/>
      <charset val="238"/>
    </font>
    <font>
      <b/>
      <sz val="11"/>
      <name val="Bookman Old Style"/>
      <family val="1"/>
      <charset val="238"/>
    </font>
    <font>
      <b/>
      <sz val="10"/>
      <name val="Bookman Old Style"/>
      <family val="1"/>
      <charset val="238"/>
    </font>
    <font>
      <sz val="10"/>
      <name val="Bookman Old Style"/>
      <family val="1"/>
      <charset val="238"/>
    </font>
    <font>
      <sz val="10"/>
      <color theme="1"/>
      <name val="Arial"/>
      <family val="2"/>
      <charset val="238"/>
    </font>
    <font>
      <sz val="11"/>
      <name val="Bookman Old Style"/>
      <family val="1"/>
      <charset val="238"/>
    </font>
    <font>
      <sz val="11"/>
      <name val="Arial"/>
      <family val="2"/>
      <charset val="238"/>
    </font>
    <font>
      <sz val="12"/>
      <name val="Bookman Old Style"/>
      <family val="1"/>
      <charset val="238"/>
    </font>
    <font>
      <b/>
      <sz val="12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3" tint="0.399975585192419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theme="3" tint="0.3999755851924192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164" fontId="0" fillId="0" borderId="1" xfId="2" applyNumberFormat="1" applyFont="1" applyBorder="1"/>
    <xf numFmtId="164" fontId="0" fillId="0" borderId="1" xfId="0" applyNumberFormat="1" applyBorder="1"/>
    <xf numFmtId="164" fontId="4" fillId="0" borderId="1" xfId="0" applyNumberFormat="1" applyFont="1" applyBorder="1"/>
    <xf numFmtId="165" fontId="4" fillId="0" borderId="1" xfId="1" applyNumberFormat="1" applyFont="1" applyBorder="1"/>
    <xf numFmtId="165" fontId="4" fillId="0" borderId="1" xfId="0" applyNumberFormat="1" applyFont="1" applyBorder="1"/>
    <xf numFmtId="0" fontId="0" fillId="0" borderId="1" xfId="0" applyFill="1" applyBorder="1"/>
    <xf numFmtId="1" fontId="0" fillId="0" borderId="1" xfId="0" applyNumberFormat="1" applyBorder="1"/>
    <xf numFmtId="164" fontId="0" fillId="0" borderId="0" xfId="0" applyNumberFormat="1"/>
    <xf numFmtId="1" fontId="0" fillId="0" borderId="0" xfId="0" applyNumberFormat="1"/>
    <xf numFmtId="0" fontId="3" fillId="0" borderId="0" xfId="0" applyFont="1"/>
    <xf numFmtId="165" fontId="0" fillId="0" borderId="0" xfId="1" applyNumberFormat="1" applyFont="1"/>
    <xf numFmtId="165" fontId="0" fillId="0" borderId="1" xfId="1" applyNumberFormat="1" applyFont="1" applyBorder="1"/>
    <xf numFmtId="165" fontId="2" fillId="0" borderId="1" xfId="1" applyNumberFormat="1" applyFont="1" applyBorder="1" applyAlignment="1">
      <alignment horizontal="center"/>
    </xf>
    <xf numFmtId="165" fontId="4" fillId="0" borderId="0" xfId="1" applyNumberFormat="1" applyFont="1"/>
    <xf numFmtId="165" fontId="3" fillId="0" borderId="1" xfId="1" applyNumberFormat="1" applyFont="1" applyBorder="1"/>
    <xf numFmtId="165" fontId="2" fillId="0" borderId="1" xfId="1" applyNumberFormat="1" applyFont="1" applyBorder="1"/>
    <xf numFmtId="165" fontId="0" fillId="0" borderId="0" xfId="0" applyNumberFormat="1"/>
    <xf numFmtId="0" fontId="0" fillId="0" borderId="4" xfId="0" applyBorder="1"/>
    <xf numFmtId="0" fontId="3" fillId="0" borderId="4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 shrinkToFit="1"/>
    </xf>
    <xf numFmtId="165" fontId="3" fillId="0" borderId="1" xfId="1" applyNumberFormat="1" applyFont="1" applyFill="1" applyBorder="1"/>
    <xf numFmtId="165" fontId="8" fillId="0" borderId="1" xfId="0" applyNumberFormat="1" applyFont="1" applyBorder="1"/>
    <xf numFmtId="0" fontId="6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8" fillId="0" borderId="9" xfId="1" applyNumberFormat="1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/>
    </xf>
    <xf numFmtId="165" fontId="8" fillId="0" borderId="10" xfId="1" applyNumberFormat="1" applyFont="1" applyBorder="1" applyAlignment="1">
      <alignment horizontal="center"/>
    </xf>
    <xf numFmtId="165" fontId="8" fillId="0" borderId="11" xfId="0" applyNumberFormat="1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1" xfId="0" applyFill="1" applyBorder="1"/>
    <xf numFmtId="1" fontId="8" fillId="2" borderId="1" xfId="0" applyNumberFormat="1" applyFont="1" applyFill="1" applyBorder="1"/>
    <xf numFmtId="165" fontId="0" fillId="2" borderId="1" xfId="1" applyNumberFormat="1" applyFont="1" applyFill="1" applyBorder="1"/>
    <xf numFmtId="165" fontId="9" fillId="2" borderId="1" xfId="1" applyNumberFormat="1" applyFont="1" applyFill="1" applyBorder="1"/>
    <xf numFmtId="165" fontId="8" fillId="2" borderId="1" xfId="1" applyNumberFormat="1" applyFont="1" applyFill="1" applyBorder="1" applyAlignment="1">
      <alignment horizontal="center"/>
    </xf>
    <xf numFmtId="165" fontId="8" fillId="2" borderId="1" xfId="0" applyNumberFormat="1" applyFont="1" applyFill="1" applyBorder="1"/>
    <xf numFmtId="0" fontId="0" fillId="0" borderId="0" xfId="0" applyFill="1"/>
    <xf numFmtId="165" fontId="0" fillId="0" borderId="1" xfId="1" applyNumberFormat="1" applyFont="1" applyFill="1" applyBorder="1"/>
    <xf numFmtId="0" fontId="8" fillId="0" borderId="1" xfId="0" applyFont="1" applyBorder="1"/>
    <xf numFmtId="0" fontId="10" fillId="0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8" fillId="6" borderId="1" xfId="0" applyNumberFormat="1" applyFont="1" applyFill="1" applyBorder="1"/>
    <xf numFmtId="165" fontId="12" fillId="6" borderId="1" xfId="0" applyNumberFormat="1" applyFont="1" applyFill="1" applyBorder="1"/>
    <xf numFmtId="1" fontId="11" fillId="5" borderId="1" xfId="0" applyNumberFormat="1" applyFont="1" applyFill="1" applyBorder="1" applyAlignment="1">
      <alignment horizontal="center" vertical="center"/>
    </xf>
    <xf numFmtId="166" fontId="11" fillId="5" borderId="1" xfId="1" applyNumberFormat="1" applyFont="1" applyFill="1" applyBorder="1" applyAlignment="1">
      <alignment horizontal="center" vertical="center"/>
    </xf>
    <xf numFmtId="165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166" fontId="11" fillId="5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166" fontId="11" fillId="6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right" vertical="center"/>
    </xf>
    <xf numFmtId="0" fontId="6" fillId="8" borderId="1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6" fillId="8" borderId="9" xfId="0" applyFont="1" applyFill="1" applyBorder="1" applyAlignment="1">
      <alignment horizontal="center" wrapText="1"/>
    </xf>
    <xf numFmtId="1" fontId="6" fillId="8" borderId="1" xfId="0" applyNumberFormat="1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 wrapText="1"/>
    </xf>
    <xf numFmtId="165" fontId="6" fillId="8" borderId="1" xfId="0" applyNumberFormat="1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center"/>
    </xf>
    <xf numFmtId="165" fontId="13" fillId="9" borderId="1" xfId="0" applyNumberFormat="1" applyFont="1" applyFill="1" applyBorder="1"/>
    <xf numFmtId="165" fontId="13" fillId="10" borderId="1" xfId="0" applyNumberFormat="1" applyFont="1" applyFill="1" applyBorder="1"/>
    <xf numFmtId="0" fontId="0" fillId="6" borderId="0" xfId="0" applyFill="1"/>
    <xf numFmtId="165" fontId="10" fillId="6" borderId="1" xfId="1" applyNumberFormat="1" applyFont="1" applyFill="1" applyBorder="1" applyAlignment="1">
      <alignment horizontal="center"/>
    </xf>
    <xf numFmtId="0" fontId="3" fillId="11" borderId="0" xfId="0" applyFont="1" applyFill="1"/>
    <xf numFmtId="0" fontId="0" fillId="11" borderId="0" xfId="0" applyFill="1"/>
    <xf numFmtId="165" fontId="0" fillId="11" borderId="0" xfId="1" applyNumberFormat="1" applyFont="1" applyFill="1"/>
    <xf numFmtId="165" fontId="4" fillId="11" borderId="0" xfId="0" applyNumberFormat="1" applyFont="1" applyFill="1"/>
    <xf numFmtId="0" fontId="3" fillId="11" borderId="0" xfId="0" applyFont="1" applyFill="1" applyBorder="1"/>
    <xf numFmtId="165" fontId="0" fillId="11" borderId="0" xfId="0" applyNumberFormat="1" applyFill="1"/>
    <xf numFmtId="165" fontId="4" fillId="11" borderId="0" xfId="1" applyNumberFormat="1" applyFont="1" applyFill="1"/>
    <xf numFmtId="165" fontId="14" fillId="11" borderId="0" xfId="0" applyNumberFormat="1" applyFont="1" applyFill="1"/>
    <xf numFmtId="165" fontId="0" fillId="11" borderId="1" xfId="1" applyNumberFormat="1" applyFont="1" applyFill="1" applyBorder="1"/>
    <xf numFmtId="165" fontId="3" fillId="11" borderId="1" xfId="1" applyNumberFormat="1" applyFont="1" applyFill="1" applyBorder="1"/>
    <xf numFmtId="165" fontId="10" fillId="11" borderId="1" xfId="1" applyNumberFormat="1" applyFont="1" applyFill="1" applyBorder="1" applyAlignment="1">
      <alignment horizontal="center"/>
    </xf>
    <xf numFmtId="165" fontId="2" fillId="11" borderId="1" xfId="1" applyNumberFormat="1" applyFont="1" applyFill="1" applyBorder="1" applyAlignment="1">
      <alignment horizontal="center"/>
    </xf>
    <xf numFmtId="165" fontId="12" fillId="11" borderId="1" xfId="0" applyNumberFormat="1" applyFont="1" applyFill="1" applyBorder="1"/>
    <xf numFmtId="0" fontId="3" fillId="11" borderId="0" xfId="0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68"/>
  <sheetViews>
    <sheetView view="pageBreakPreview" topLeftCell="C13" zoomScale="82" zoomScaleSheetLayoutView="82" workbookViewId="0">
      <selection activeCell="O29" sqref="O29"/>
    </sheetView>
  </sheetViews>
  <sheetFormatPr defaultRowHeight="15"/>
  <cols>
    <col min="3" max="3" width="24.42578125" customWidth="1"/>
    <col min="4" max="4" width="19.5703125" customWidth="1"/>
    <col min="5" max="5" width="16.5703125" customWidth="1"/>
    <col min="6" max="6" width="17" customWidth="1"/>
    <col min="7" max="7" width="18.28515625" customWidth="1"/>
    <col min="8" max="8" width="16" customWidth="1"/>
    <col min="9" max="9" width="16.7109375" customWidth="1"/>
    <col min="10" max="10" width="10.5703125" bestFit="1" customWidth="1"/>
    <col min="11" max="11" width="15.28515625" bestFit="1" customWidth="1"/>
    <col min="12" max="12" width="14.28515625" customWidth="1"/>
    <col min="13" max="13" width="14.5703125" customWidth="1"/>
    <col min="14" max="14" width="17.28515625" customWidth="1"/>
    <col min="15" max="15" width="13.42578125" customWidth="1"/>
  </cols>
  <sheetData>
    <row r="2" spans="1:14" ht="15.75">
      <c r="A2" s="1" t="s">
        <v>0</v>
      </c>
      <c r="B2" s="1"/>
    </row>
    <row r="4" spans="1:14">
      <c r="A4" s="110" t="s">
        <v>1</v>
      </c>
      <c r="B4" s="111" t="s">
        <v>2</v>
      </c>
      <c r="C4" s="112" t="s">
        <v>3</v>
      </c>
      <c r="D4" s="113"/>
      <c r="E4" s="110" t="s">
        <v>4</v>
      </c>
      <c r="F4" s="112" t="s">
        <v>5</v>
      </c>
      <c r="G4" s="112"/>
      <c r="H4" s="110" t="s">
        <v>6</v>
      </c>
      <c r="I4" s="110"/>
      <c r="J4" s="110" t="s">
        <v>7</v>
      </c>
      <c r="K4" s="110"/>
      <c r="L4" s="110" t="s">
        <v>8</v>
      </c>
      <c r="M4" s="111"/>
      <c r="N4" s="115" t="s">
        <v>9</v>
      </c>
    </row>
    <row r="5" spans="1:14" ht="63.75">
      <c r="A5" s="110"/>
      <c r="B5" s="111"/>
      <c r="C5" s="2" t="s">
        <v>10</v>
      </c>
      <c r="D5" s="2" t="s">
        <v>11</v>
      </c>
      <c r="E5" s="110"/>
      <c r="F5" s="2" t="s">
        <v>12</v>
      </c>
      <c r="G5" s="2" t="s">
        <v>13</v>
      </c>
      <c r="H5" s="2" t="s">
        <v>14</v>
      </c>
      <c r="I5" s="2" t="s">
        <v>11</v>
      </c>
      <c r="J5" s="2" t="s">
        <v>14</v>
      </c>
      <c r="K5" s="2" t="s">
        <v>11</v>
      </c>
      <c r="L5" s="2" t="s">
        <v>14</v>
      </c>
      <c r="M5" s="2" t="s">
        <v>11</v>
      </c>
      <c r="N5" s="115"/>
    </row>
    <row r="6" spans="1:14">
      <c r="A6" s="3" t="s">
        <v>15</v>
      </c>
      <c r="B6" s="3">
        <v>2.6</v>
      </c>
      <c r="C6" s="4">
        <v>5</v>
      </c>
      <c r="D6" s="4">
        <v>2</v>
      </c>
      <c r="E6" s="4">
        <f>C6+D6</f>
        <v>7</v>
      </c>
      <c r="F6" s="5">
        <f>C6/E6</f>
        <v>0.7142857142857143</v>
      </c>
      <c r="G6" s="6">
        <f>D6/E6</f>
        <v>0.2857142857142857</v>
      </c>
      <c r="H6" s="7">
        <f>B6*F6</f>
        <v>1.8571428571428572</v>
      </c>
      <c r="I6" s="7">
        <f>B6*G6</f>
        <v>0.74285714285714288</v>
      </c>
      <c r="J6" s="4">
        <v>25000</v>
      </c>
      <c r="K6" s="4">
        <v>273000</v>
      </c>
      <c r="L6" s="8">
        <f>H6*J6</f>
        <v>46428.571428571428</v>
      </c>
      <c r="M6" s="8">
        <f>I6*K6</f>
        <v>202800</v>
      </c>
      <c r="N6" s="9">
        <f>L6+M6</f>
        <v>249228.57142857142</v>
      </c>
    </row>
    <row r="7" spans="1:14">
      <c r="A7" s="3" t="s">
        <v>16</v>
      </c>
      <c r="B7" s="3">
        <v>1.5</v>
      </c>
      <c r="C7" s="4">
        <v>1</v>
      </c>
      <c r="D7" s="4"/>
      <c r="E7" s="4">
        <f t="shared" ref="E7:E13" si="0">C7+D7</f>
        <v>1</v>
      </c>
      <c r="F7" s="5">
        <f t="shared" ref="F7:F13" si="1">C7/E7</f>
        <v>1</v>
      </c>
      <c r="G7" s="6">
        <f t="shared" ref="G7:G13" si="2">D7/E7</f>
        <v>0</v>
      </c>
      <c r="H7" s="7">
        <f t="shared" ref="H7:H10" si="3">B7*F7</f>
        <v>1.5</v>
      </c>
      <c r="I7" s="7">
        <f t="shared" ref="I7:I10" si="4">B7*G7</f>
        <v>0</v>
      </c>
      <c r="J7" s="4">
        <v>25000</v>
      </c>
      <c r="K7" s="4">
        <v>273000</v>
      </c>
      <c r="L7" s="8">
        <f t="shared" ref="L7:M13" si="5">H7*J7</f>
        <v>37500</v>
      </c>
      <c r="M7" s="8">
        <f t="shared" si="5"/>
        <v>0</v>
      </c>
      <c r="N7" s="9">
        <f t="shared" ref="N7:N13" si="6">L7+M7</f>
        <v>37500</v>
      </c>
    </row>
    <row r="8" spans="1:14">
      <c r="A8" s="3" t="s">
        <v>17</v>
      </c>
      <c r="B8" s="3">
        <v>4.3</v>
      </c>
      <c r="C8" s="4">
        <v>7</v>
      </c>
      <c r="D8" s="4">
        <v>5</v>
      </c>
      <c r="E8" s="4">
        <f t="shared" si="0"/>
        <v>12</v>
      </c>
      <c r="F8" s="5">
        <f t="shared" si="1"/>
        <v>0.58333333333333337</v>
      </c>
      <c r="G8" s="6">
        <f t="shared" si="2"/>
        <v>0.41666666666666669</v>
      </c>
      <c r="H8" s="7">
        <f t="shared" si="3"/>
        <v>2.5083333333333333</v>
      </c>
      <c r="I8" s="7">
        <f t="shared" si="4"/>
        <v>1.7916666666666667</v>
      </c>
      <c r="J8" s="4">
        <v>25000</v>
      </c>
      <c r="K8" s="4">
        <v>273000</v>
      </c>
      <c r="L8" s="8">
        <f t="shared" si="5"/>
        <v>62708.333333333336</v>
      </c>
      <c r="M8" s="8">
        <f t="shared" si="5"/>
        <v>489125</v>
      </c>
      <c r="N8" s="9">
        <f t="shared" si="6"/>
        <v>551833.33333333337</v>
      </c>
    </row>
    <row r="9" spans="1:14">
      <c r="A9" s="3" t="s">
        <v>18</v>
      </c>
      <c r="B9" s="3">
        <v>4.7</v>
      </c>
      <c r="C9" s="4">
        <v>5</v>
      </c>
      <c r="D9" s="4">
        <v>6</v>
      </c>
      <c r="E9" s="4">
        <f t="shared" si="0"/>
        <v>11</v>
      </c>
      <c r="F9" s="5">
        <f t="shared" si="1"/>
        <v>0.45454545454545453</v>
      </c>
      <c r="G9" s="6">
        <f t="shared" si="2"/>
        <v>0.54545454545454541</v>
      </c>
      <c r="H9" s="7">
        <f t="shared" si="3"/>
        <v>2.1363636363636362</v>
      </c>
      <c r="I9" s="7">
        <f t="shared" si="4"/>
        <v>2.5636363636363635</v>
      </c>
      <c r="J9" s="4">
        <v>25000</v>
      </c>
      <c r="K9" s="4">
        <v>273000</v>
      </c>
      <c r="L9" s="8">
        <f t="shared" si="5"/>
        <v>53409.090909090904</v>
      </c>
      <c r="M9" s="8">
        <f t="shared" si="5"/>
        <v>699872.72727272718</v>
      </c>
      <c r="N9" s="9">
        <f t="shared" si="6"/>
        <v>753281.81818181812</v>
      </c>
    </row>
    <row r="10" spans="1:14">
      <c r="A10" s="3" t="s">
        <v>19</v>
      </c>
      <c r="B10" s="3">
        <v>5.7</v>
      </c>
      <c r="C10" s="4">
        <v>8</v>
      </c>
      <c r="D10" s="4">
        <v>1</v>
      </c>
      <c r="E10" s="4">
        <f t="shared" si="0"/>
        <v>9</v>
      </c>
      <c r="F10" s="5">
        <f t="shared" si="1"/>
        <v>0.88888888888888884</v>
      </c>
      <c r="G10" s="6">
        <f t="shared" si="2"/>
        <v>0.1111111111111111</v>
      </c>
      <c r="H10" s="7">
        <f t="shared" si="3"/>
        <v>5.0666666666666664</v>
      </c>
      <c r="I10" s="7">
        <f t="shared" si="4"/>
        <v>0.6333333333333333</v>
      </c>
      <c r="J10" s="4">
        <v>25000</v>
      </c>
      <c r="K10" s="4">
        <v>273000</v>
      </c>
      <c r="L10" s="8">
        <f t="shared" si="5"/>
        <v>126666.66666666666</v>
      </c>
      <c r="M10" s="8">
        <f t="shared" si="5"/>
        <v>172900</v>
      </c>
      <c r="N10" s="9">
        <f t="shared" si="6"/>
        <v>299566.66666666663</v>
      </c>
    </row>
    <row r="11" spans="1:14">
      <c r="A11" s="3" t="s">
        <v>20</v>
      </c>
      <c r="B11" s="3">
        <v>33.799999999999997</v>
      </c>
      <c r="C11" s="4">
        <v>18</v>
      </c>
      <c r="D11" s="4">
        <v>42</v>
      </c>
      <c r="E11" s="4">
        <f t="shared" si="0"/>
        <v>60</v>
      </c>
      <c r="F11" s="5">
        <f t="shared" si="1"/>
        <v>0.3</v>
      </c>
      <c r="G11" s="6">
        <f t="shared" si="2"/>
        <v>0.7</v>
      </c>
      <c r="H11" s="7">
        <f>H13-H6-H7-H8-H9-H10-H12</f>
        <v>10.931493506493506</v>
      </c>
      <c r="I11" s="7">
        <f>I13-I6-I7-I8-I9-I12-I10</f>
        <v>23.268506493506493</v>
      </c>
      <c r="J11" s="4">
        <v>25000</v>
      </c>
      <c r="K11" s="4">
        <v>273000</v>
      </c>
      <c r="L11" s="8">
        <f t="shared" si="5"/>
        <v>273287.33766233764</v>
      </c>
      <c r="M11" s="8">
        <f t="shared" si="5"/>
        <v>6352302.2727272725</v>
      </c>
      <c r="N11" s="9">
        <f t="shared" si="6"/>
        <v>6625589.6103896098</v>
      </c>
    </row>
    <row r="12" spans="1:14">
      <c r="A12" s="3" t="s">
        <v>21</v>
      </c>
      <c r="B12" s="3"/>
      <c r="C12" s="4"/>
      <c r="D12" s="10">
        <v>5</v>
      </c>
      <c r="E12" s="4"/>
      <c r="F12" s="5"/>
      <c r="G12" s="6"/>
      <c r="H12" s="7"/>
      <c r="I12" s="7">
        <v>2</v>
      </c>
      <c r="J12" s="4"/>
      <c r="K12" s="4">
        <v>273000</v>
      </c>
      <c r="L12" s="8">
        <f t="shared" si="5"/>
        <v>0</v>
      </c>
      <c r="M12" s="8">
        <f t="shared" si="5"/>
        <v>546000</v>
      </c>
      <c r="N12" s="9">
        <f t="shared" si="6"/>
        <v>546000</v>
      </c>
    </row>
    <row r="13" spans="1:14">
      <c r="A13" s="3" t="s">
        <v>22</v>
      </c>
      <c r="B13" s="4">
        <f>SUM(B6:B11)</f>
        <v>52.599999999999994</v>
      </c>
      <c r="C13" s="4">
        <f t="shared" ref="C13" si="7">SUM(C6:C11)</f>
        <v>44</v>
      </c>
      <c r="D13" s="4">
        <f>SUM(D6:D12)</f>
        <v>61</v>
      </c>
      <c r="E13" s="4">
        <f t="shared" si="0"/>
        <v>105</v>
      </c>
      <c r="F13" s="5">
        <f t="shared" si="1"/>
        <v>0.41904761904761906</v>
      </c>
      <c r="G13" s="6">
        <f t="shared" si="2"/>
        <v>0.580952380952381</v>
      </c>
      <c r="H13" s="7">
        <v>24</v>
      </c>
      <c r="I13" s="7">
        <v>31</v>
      </c>
      <c r="J13" s="4">
        <v>25000</v>
      </c>
      <c r="K13" s="11">
        <v>273000</v>
      </c>
      <c r="L13" s="8">
        <f t="shared" si="5"/>
        <v>600000</v>
      </c>
      <c r="M13" s="8">
        <f t="shared" si="5"/>
        <v>8463000</v>
      </c>
      <c r="N13" s="9">
        <f t="shared" si="6"/>
        <v>9063000</v>
      </c>
    </row>
    <row r="15" spans="1:14">
      <c r="H15" s="12"/>
      <c r="I15" s="13"/>
      <c r="J15" s="13"/>
      <c r="K15" s="13"/>
      <c r="L15" s="13"/>
      <c r="M15" s="13"/>
      <c r="N15" s="13"/>
    </row>
    <row r="17" spans="1:15" ht="15.75">
      <c r="A17" s="1" t="s">
        <v>23</v>
      </c>
      <c r="B17" s="1"/>
      <c r="J17" s="14"/>
    </row>
    <row r="19" spans="1:15">
      <c r="A19" s="14" t="s">
        <v>24</v>
      </c>
      <c r="B19" s="14" t="s">
        <v>25</v>
      </c>
    </row>
    <row r="20" spans="1:15">
      <c r="B20" s="14" t="s">
        <v>26</v>
      </c>
      <c r="D20">
        <v>1</v>
      </c>
      <c r="E20">
        <v>64500</v>
      </c>
      <c r="F20">
        <v>11</v>
      </c>
      <c r="G20">
        <v>80500</v>
      </c>
      <c r="H20" s="15">
        <f>D20*E20+F20*G20</f>
        <v>950000</v>
      </c>
      <c r="J20" s="110" t="s">
        <v>1</v>
      </c>
      <c r="K20" s="110" t="s">
        <v>27</v>
      </c>
      <c r="L20" s="116" t="s">
        <v>28</v>
      </c>
      <c r="M20" s="118" t="s">
        <v>29</v>
      </c>
      <c r="N20" s="118" t="s">
        <v>30</v>
      </c>
      <c r="O20" s="114" t="s">
        <v>31</v>
      </c>
    </row>
    <row r="21" spans="1:15">
      <c r="B21" s="14" t="s">
        <v>32</v>
      </c>
      <c r="D21">
        <v>64500</v>
      </c>
      <c r="E21">
        <v>0.27</v>
      </c>
      <c r="F21">
        <v>950000</v>
      </c>
      <c r="G21">
        <v>0.22</v>
      </c>
      <c r="H21" s="15">
        <f>D21*E21+F21*G21</f>
        <v>226415</v>
      </c>
      <c r="J21" s="110"/>
      <c r="K21" s="110"/>
      <c r="L21" s="117"/>
      <c r="M21" s="119"/>
      <c r="N21" s="118"/>
      <c r="O21" s="114"/>
    </row>
    <row r="22" spans="1:15" ht="15.75">
      <c r="B22" s="14" t="s">
        <v>33</v>
      </c>
      <c r="F22">
        <v>12</v>
      </c>
      <c r="G22">
        <v>2500</v>
      </c>
      <c r="H22" s="15">
        <f>F22*G22</f>
        <v>30000</v>
      </c>
      <c r="J22" s="3" t="s">
        <v>15</v>
      </c>
      <c r="K22" s="16">
        <v>249228.57142857142</v>
      </c>
      <c r="L22" s="16">
        <f>K22/K29*L29</f>
        <v>165382.38597999921</v>
      </c>
      <c r="M22" s="16">
        <v>1216681</v>
      </c>
      <c r="N22" s="16">
        <f>M22-K22-L22</f>
        <v>802070.04259142943</v>
      </c>
      <c r="O22" s="17">
        <v>802</v>
      </c>
    </row>
    <row r="23" spans="1:15" ht="15.75">
      <c r="B23" s="14" t="s">
        <v>34</v>
      </c>
      <c r="E23">
        <v>30000</v>
      </c>
      <c r="F23">
        <v>1.18</v>
      </c>
      <c r="G23">
        <v>0.28999999999999998</v>
      </c>
      <c r="H23" s="15">
        <f>E23*F23*G23</f>
        <v>10266</v>
      </c>
      <c r="J23" s="3" t="s">
        <v>16</v>
      </c>
      <c r="K23" s="16">
        <v>37500</v>
      </c>
      <c r="L23" s="16">
        <f>K23/K29*L29</f>
        <v>24884.143253324422</v>
      </c>
      <c r="M23" s="104">
        <v>69424</v>
      </c>
      <c r="N23" s="104">
        <f t="shared" ref="N23:N27" si="8">M23-K23-L23</f>
        <v>7039.8567466755776</v>
      </c>
      <c r="O23" s="107">
        <v>7</v>
      </c>
    </row>
    <row r="24" spans="1:15" ht="15.75">
      <c r="B24" s="14" t="s">
        <v>35</v>
      </c>
      <c r="H24" s="18">
        <f>SUM(H20:H23)</f>
        <v>1216681</v>
      </c>
      <c r="J24" s="3" t="s">
        <v>17</v>
      </c>
      <c r="K24" s="16">
        <v>551833.33333333337</v>
      </c>
      <c r="L24" s="16">
        <f>K24/K29*L29</f>
        <v>366183.99249669857</v>
      </c>
      <c r="M24" s="16">
        <v>1216681</v>
      </c>
      <c r="N24" s="16">
        <f t="shared" si="8"/>
        <v>298663.67416996806</v>
      </c>
      <c r="O24" s="17">
        <v>299</v>
      </c>
    </row>
    <row r="25" spans="1:15" ht="15.75">
      <c r="H25" s="15"/>
      <c r="J25" s="3" t="s">
        <v>18</v>
      </c>
      <c r="K25" s="16">
        <v>753281.81818181812</v>
      </c>
      <c r="L25" s="16">
        <f>K25/K29*L29</f>
        <v>499860.60463362787</v>
      </c>
      <c r="M25" s="104">
        <v>2144357</v>
      </c>
      <c r="N25" s="104">
        <f t="shared" si="8"/>
        <v>891214.57718455396</v>
      </c>
      <c r="O25" s="107">
        <v>891</v>
      </c>
    </row>
    <row r="26" spans="1:15" ht="15.75">
      <c r="A26" s="96" t="s">
        <v>36</v>
      </c>
      <c r="B26" s="96" t="s">
        <v>85</v>
      </c>
      <c r="C26" s="97"/>
      <c r="D26" s="97"/>
      <c r="E26" s="97"/>
      <c r="F26" s="97"/>
      <c r="G26" s="97"/>
      <c r="H26" s="98"/>
      <c r="J26" s="3" t="s">
        <v>19</v>
      </c>
      <c r="K26" s="16">
        <v>299566.66666666663</v>
      </c>
      <c r="L26" s="16">
        <f>K26/K29*L29</f>
        <v>198785.59592677918</v>
      </c>
      <c r="M26" s="19">
        <v>1216681</v>
      </c>
      <c r="N26" s="16">
        <f t="shared" si="8"/>
        <v>718328.73740655417</v>
      </c>
      <c r="O26" s="17">
        <v>718</v>
      </c>
    </row>
    <row r="27" spans="1:15" ht="15.75">
      <c r="A27" s="97"/>
      <c r="B27" s="96" t="s">
        <v>86</v>
      </c>
      <c r="C27" s="97"/>
      <c r="D27" s="97">
        <v>161000</v>
      </c>
      <c r="E27" s="97">
        <v>22</v>
      </c>
      <c r="F27" s="97">
        <v>8</v>
      </c>
      <c r="G27" s="97">
        <v>30</v>
      </c>
      <c r="H27" s="98">
        <f>D27/E27/F27*G27</f>
        <v>27443.181818181816</v>
      </c>
      <c r="J27" s="3" t="s">
        <v>21</v>
      </c>
      <c r="K27" s="16">
        <v>546000</v>
      </c>
      <c r="L27" s="16">
        <f>K27/K29*L29</f>
        <v>362313.12576840358</v>
      </c>
      <c r="M27" s="105">
        <v>866662</v>
      </c>
      <c r="N27" s="104">
        <f t="shared" si="8"/>
        <v>-41651.125768403581</v>
      </c>
      <c r="O27" s="107">
        <v>-42</v>
      </c>
    </row>
    <row r="28" spans="1:15" ht="15.75">
      <c r="A28" s="97"/>
      <c r="B28" s="96" t="s">
        <v>87</v>
      </c>
      <c r="C28" s="97"/>
      <c r="D28" s="97"/>
      <c r="E28" s="97"/>
      <c r="F28" s="97">
        <v>27443</v>
      </c>
      <c r="G28" s="97">
        <v>0.22</v>
      </c>
      <c r="H28" s="98">
        <f>F28*G28</f>
        <v>6037.46</v>
      </c>
      <c r="J28" s="3" t="s">
        <v>20</v>
      </c>
      <c r="K28" s="16">
        <v>6625590</v>
      </c>
      <c r="L28" s="16">
        <f>K28/K29*L29</f>
        <v>4396590.1519411672</v>
      </c>
      <c r="M28" s="16">
        <f>M29-M22-M23-M24-M25-M27-M26</f>
        <v>28968514</v>
      </c>
      <c r="N28" s="16">
        <f>M28-K28-L28</f>
        <v>17946333.848058835</v>
      </c>
      <c r="O28" s="17">
        <v>17947</v>
      </c>
    </row>
    <row r="29" spans="1:15" ht="30" customHeight="1">
      <c r="A29" s="97"/>
      <c r="B29" s="109" t="s">
        <v>88</v>
      </c>
      <c r="C29" s="109"/>
      <c r="D29" s="97">
        <v>5000</v>
      </c>
      <c r="E29" s="97">
        <v>8</v>
      </c>
      <c r="F29" s="97">
        <v>22</v>
      </c>
      <c r="G29" s="97">
        <v>30</v>
      </c>
      <c r="H29" s="99">
        <f>D29/E29/F29*G29</f>
        <v>852.27272727272725</v>
      </c>
      <c r="J29" s="3" t="s">
        <v>22</v>
      </c>
      <c r="K29" s="16">
        <f>SUM(K22:K28)</f>
        <v>9063000.3896103892</v>
      </c>
      <c r="L29" s="16">
        <v>6014000</v>
      </c>
      <c r="M29" s="16">
        <v>35699000</v>
      </c>
      <c r="N29" s="16">
        <f>SUM(N22:N28)</f>
        <v>20621999.610389613</v>
      </c>
      <c r="O29" s="20">
        <f>SUM(O22:O28)</f>
        <v>20622</v>
      </c>
    </row>
    <row r="30" spans="1:15">
      <c r="A30" s="97"/>
      <c r="B30" s="100" t="s">
        <v>89</v>
      </c>
      <c r="C30" s="97"/>
      <c r="D30" s="97"/>
      <c r="E30" s="97">
        <v>852</v>
      </c>
      <c r="F30" s="97">
        <v>1.18</v>
      </c>
      <c r="G30" s="97">
        <v>0.28999999999999998</v>
      </c>
      <c r="H30" s="98">
        <f>E30*F30*G30</f>
        <v>291.55439999999993</v>
      </c>
      <c r="L30" s="21">
        <f ca="1">L22:L30</f>
        <v>0</v>
      </c>
    </row>
    <row r="31" spans="1:15">
      <c r="A31" s="97"/>
      <c r="B31" s="100" t="s">
        <v>98</v>
      </c>
      <c r="C31" s="97"/>
      <c r="D31" s="97"/>
      <c r="E31" s="97"/>
      <c r="F31" s="97"/>
      <c r="G31" s="97"/>
      <c r="H31" s="97"/>
      <c r="L31" s="21"/>
    </row>
    <row r="32" spans="1:15">
      <c r="A32" s="97"/>
      <c r="B32" s="100" t="s">
        <v>90</v>
      </c>
      <c r="C32" s="97"/>
      <c r="D32" s="97"/>
      <c r="E32" s="97">
        <v>8</v>
      </c>
      <c r="F32" s="97">
        <v>145</v>
      </c>
      <c r="G32" s="97">
        <v>30</v>
      </c>
      <c r="H32" s="98">
        <f>E32*F32*G32</f>
        <v>34800</v>
      </c>
      <c r="L32" s="21"/>
    </row>
    <row r="33" spans="1:13">
      <c r="A33" s="97"/>
      <c r="B33" s="100" t="s">
        <v>35</v>
      </c>
      <c r="C33" s="97"/>
      <c r="D33" s="97"/>
      <c r="E33" s="97"/>
      <c r="F33" s="97"/>
      <c r="G33" s="97"/>
      <c r="H33" s="103">
        <f>SUM(H27:H32)</f>
        <v>69424.468945454544</v>
      </c>
      <c r="L33" s="21"/>
    </row>
    <row r="34" spans="1:13">
      <c r="A34" s="14" t="s">
        <v>37</v>
      </c>
      <c r="B34" s="14" t="s">
        <v>25</v>
      </c>
      <c r="K34" s="21"/>
      <c r="L34" s="13"/>
      <c r="M34" s="13"/>
    </row>
    <row r="35" spans="1:13">
      <c r="B35" s="14" t="s">
        <v>38</v>
      </c>
      <c r="D35">
        <v>1</v>
      </c>
      <c r="E35">
        <v>64500</v>
      </c>
      <c r="F35">
        <v>11</v>
      </c>
      <c r="G35">
        <v>80500</v>
      </c>
      <c r="H35" s="15">
        <f>D35*E35+F35*G35</f>
        <v>950000</v>
      </c>
    </row>
    <row r="36" spans="1:13">
      <c r="B36" s="14" t="s">
        <v>32</v>
      </c>
      <c r="D36">
        <v>64500</v>
      </c>
      <c r="E36">
        <v>0.27</v>
      </c>
      <c r="F36">
        <v>950000</v>
      </c>
      <c r="G36">
        <v>0.22</v>
      </c>
      <c r="H36" s="15">
        <f>D36*E36+F36*G36</f>
        <v>226415</v>
      </c>
    </row>
    <row r="37" spans="1:13">
      <c r="B37" s="14" t="s">
        <v>33</v>
      </c>
      <c r="F37">
        <v>12</v>
      </c>
      <c r="G37">
        <v>2500</v>
      </c>
      <c r="H37" s="15">
        <f>F37*G37</f>
        <v>30000</v>
      </c>
    </row>
    <row r="38" spans="1:13">
      <c r="B38" s="14" t="s">
        <v>34</v>
      </c>
      <c r="E38">
        <v>30000</v>
      </c>
      <c r="F38">
        <v>1.18</v>
      </c>
      <c r="G38">
        <v>0.28999999999999998</v>
      </c>
      <c r="H38" s="15">
        <f>E38*F38*G38</f>
        <v>10266</v>
      </c>
    </row>
    <row r="39" spans="1:13">
      <c r="B39" s="14" t="s">
        <v>35</v>
      </c>
      <c r="H39" s="18">
        <f>SUM(H35:H38)</f>
        <v>1216681</v>
      </c>
    </row>
    <row r="41" spans="1:13">
      <c r="A41" s="96" t="s">
        <v>39</v>
      </c>
      <c r="B41" s="96" t="s">
        <v>91</v>
      </c>
      <c r="C41" s="97"/>
      <c r="D41" s="97"/>
      <c r="E41" s="97"/>
      <c r="F41" s="97"/>
      <c r="G41" s="97"/>
      <c r="H41" s="97"/>
    </row>
    <row r="42" spans="1:13">
      <c r="A42" s="96"/>
      <c r="B42" s="96" t="s">
        <v>92</v>
      </c>
      <c r="C42" s="97"/>
      <c r="D42" s="97"/>
      <c r="E42" s="97"/>
      <c r="F42" s="97"/>
      <c r="G42" s="97"/>
      <c r="H42" s="97"/>
    </row>
    <row r="43" spans="1:13">
      <c r="A43" s="97"/>
      <c r="B43" s="96" t="s">
        <v>93</v>
      </c>
      <c r="C43" s="97"/>
      <c r="D43" s="97">
        <v>1</v>
      </c>
      <c r="E43" s="97">
        <v>129000</v>
      </c>
      <c r="F43" s="97">
        <v>3</v>
      </c>
      <c r="G43" s="97">
        <v>161000</v>
      </c>
      <c r="H43" s="98">
        <f>D43*E43+F43*G43</f>
        <v>612000</v>
      </c>
    </row>
    <row r="44" spans="1:13">
      <c r="A44" s="97"/>
      <c r="B44" s="96" t="s">
        <v>94</v>
      </c>
      <c r="C44" s="97"/>
      <c r="D44" s="97">
        <v>129000</v>
      </c>
      <c r="E44" s="97">
        <v>0.27</v>
      </c>
      <c r="F44" s="97">
        <f>F43*G43</f>
        <v>483000</v>
      </c>
      <c r="G44" s="97">
        <v>0.22</v>
      </c>
      <c r="H44" s="98">
        <f>D44*E44+F44*G44</f>
        <v>141090</v>
      </c>
    </row>
    <row r="45" spans="1:13">
      <c r="A45" s="97"/>
      <c r="B45" s="96" t="s">
        <v>95</v>
      </c>
      <c r="C45" s="97"/>
      <c r="D45" s="97">
        <v>161000</v>
      </c>
      <c r="E45" s="97">
        <v>8</v>
      </c>
      <c r="F45" s="97">
        <v>6</v>
      </c>
      <c r="G45" s="97">
        <v>9</v>
      </c>
      <c r="H45" s="98">
        <f>D45/E45*F45*G45</f>
        <v>1086750</v>
      </c>
    </row>
    <row r="46" spans="1:13">
      <c r="A46" s="97"/>
      <c r="B46" s="96" t="s">
        <v>96</v>
      </c>
      <c r="C46" s="97"/>
      <c r="D46" s="97"/>
      <c r="E46" s="97"/>
      <c r="F46" s="101">
        <f>H45</f>
        <v>1086750</v>
      </c>
      <c r="G46" s="97">
        <v>0.22</v>
      </c>
      <c r="H46" s="98">
        <f>F46*G46</f>
        <v>239085</v>
      </c>
    </row>
    <row r="47" spans="1:13">
      <c r="A47" s="97"/>
      <c r="B47" s="96" t="s">
        <v>97</v>
      </c>
      <c r="C47" s="97"/>
      <c r="D47" s="97"/>
      <c r="E47" s="97"/>
      <c r="F47" s="97">
        <v>3</v>
      </c>
      <c r="G47" s="97">
        <v>5000</v>
      </c>
      <c r="H47" s="98">
        <f>F47*G47</f>
        <v>15000</v>
      </c>
    </row>
    <row r="48" spans="1:13">
      <c r="A48" s="97"/>
      <c r="B48" s="96" t="s">
        <v>99</v>
      </c>
      <c r="C48" s="97"/>
      <c r="D48" s="97"/>
      <c r="E48" s="101">
        <f>H47</f>
        <v>15000</v>
      </c>
      <c r="F48" s="97">
        <v>1.18</v>
      </c>
      <c r="G48" s="97">
        <v>0.28999999999999998</v>
      </c>
      <c r="H48" s="98">
        <f>E48*F48*G48</f>
        <v>5133</v>
      </c>
    </row>
    <row r="49" spans="1:8">
      <c r="A49" s="97"/>
      <c r="B49" s="96" t="s">
        <v>100</v>
      </c>
      <c r="C49" s="97"/>
      <c r="D49" s="97">
        <v>5000</v>
      </c>
      <c r="E49" s="101">
        <v>8</v>
      </c>
      <c r="F49" s="97">
        <v>6</v>
      </c>
      <c r="G49" s="97">
        <v>9</v>
      </c>
      <c r="H49" s="98">
        <f>D49/E49*F49*G49</f>
        <v>33750</v>
      </c>
    </row>
    <row r="50" spans="1:8">
      <c r="A50" s="97"/>
      <c r="B50" s="96" t="s">
        <v>99</v>
      </c>
      <c r="C50" s="97"/>
      <c r="D50" s="97"/>
      <c r="E50" s="101">
        <f>H49</f>
        <v>33750</v>
      </c>
      <c r="F50" s="97">
        <v>1.18</v>
      </c>
      <c r="G50" s="97">
        <v>0.28999999999999998</v>
      </c>
      <c r="H50" s="98">
        <f>E50*F50*G50</f>
        <v>11549.25</v>
      </c>
    </row>
    <row r="51" spans="1:8">
      <c r="A51" s="97"/>
      <c r="B51" s="96" t="s">
        <v>35</v>
      </c>
      <c r="C51" s="97"/>
      <c r="D51" s="97"/>
      <c r="E51" s="97"/>
      <c r="F51" s="97"/>
      <c r="G51" s="97"/>
      <c r="H51" s="102">
        <f>SUM(H42:H50)</f>
        <v>2144357.25</v>
      </c>
    </row>
    <row r="53" spans="1:8">
      <c r="A53" s="14" t="s">
        <v>40</v>
      </c>
      <c r="B53" s="14" t="s">
        <v>25</v>
      </c>
    </row>
    <row r="54" spans="1:8">
      <c r="B54" s="14" t="s">
        <v>38</v>
      </c>
      <c r="D54">
        <v>1</v>
      </c>
      <c r="E54">
        <v>64500</v>
      </c>
      <c r="F54">
        <v>11</v>
      </c>
      <c r="G54">
        <v>80500</v>
      </c>
      <c r="H54" s="15">
        <f>D54*E54+F54*G54</f>
        <v>950000</v>
      </c>
    </row>
    <row r="55" spans="1:8">
      <c r="B55" s="14" t="s">
        <v>32</v>
      </c>
      <c r="D55">
        <v>64500</v>
      </c>
      <c r="E55">
        <v>0.27</v>
      </c>
      <c r="F55">
        <v>950000</v>
      </c>
      <c r="G55">
        <v>0.22</v>
      </c>
      <c r="H55" s="15">
        <f>D55*E55+F55*G55</f>
        <v>226415</v>
      </c>
    </row>
    <row r="56" spans="1:8">
      <c r="B56" s="14" t="s">
        <v>33</v>
      </c>
      <c r="F56">
        <v>12</v>
      </c>
      <c r="G56">
        <v>2500</v>
      </c>
      <c r="H56" s="15">
        <f>F56*G56</f>
        <v>30000</v>
      </c>
    </row>
    <row r="57" spans="1:8">
      <c r="B57" s="14" t="s">
        <v>34</v>
      </c>
      <c r="E57">
        <v>30000</v>
      </c>
      <c r="F57">
        <v>1.18</v>
      </c>
      <c r="G57">
        <v>0.28999999999999998</v>
      </c>
      <c r="H57" s="15">
        <f>E57*F57*G57</f>
        <v>10266</v>
      </c>
    </row>
    <row r="58" spans="1:8">
      <c r="B58" s="14" t="s">
        <v>35</v>
      </c>
      <c r="H58" s="18">
        <f>SUM(H54:H57)</f>
        <v>1216681</v>
      </c>
    </row>
    <row r="60" spans="1:8">
      <c r="A60" s="96" t="s">
        <v>41</v>
      </c>
      <c r="B60" s="96" t="s">
        <v>101</v>
      </c>
      <c r="C60" s="97"/>
      <c r="D60" s="97"/>
      <c r="E60" s="97"/>
      <c r="F60" s="97"/>
      <c r="G60" s="97"/>
      <c r="H60" s="97"/>
    </row>
    <row r="61" spans="1:8">
      <c r="A61" s="97"/>
      <c r="B61" s="96" t="s">
        <v>102</v>
      </c>
      <c r="C61" s="97"/>
      <c r="D61" s="97"/>
      <c r="E61" s="97">
        <v>161000</v>
      </c>
      <c r="F61" s="97">
        <v>2</v>
      </c>
      <c r="G61" s="97">
        <v>8.5</v>
      </c>
      <c r="H61" s="98">
        <f>E61/F61*G61</f>
        <v>684250</v>
      </c>
    </row>
    <row r="62" spans="1:8">
      <c r="A62" s="97"/>
      <c r="B62" s="96" t="s">
        <v>96</v>
      </c>
      <c r="C62" s="97"/>
      <c r="D62" s="97"/>
      <c r="E62" s="97"/>
      <c r="F62" s="101">
        <f>H61</f>
        <v>684250</v>
      </c>
      <c r="G62" s="97">
        <v>0.22</v>
      </c>
      <c r="H62" s="98">
        <f>D62*E62+F62*G62</f>
        <v>150535</v>
      </c>
    </row>
    <row r="63" spans="1:8">
      <c r="A63" s="97"/>
      <c r="B63" s="96" t="s">
        <v>103</v>
      </c>
      <c r="C63" s="97"/>
      <c r="D63" s="97"/>
      <c r="E63" s="97">
        <v>5000</v>
      </c>
      <c r="F63" s="97">
        <v>2</v>
      </c>
      <c r="G63" s="97">
        <v>9.5</v>
      </c>
      <c r="H63" s="98">
        <f>E63/F63*G63</f>
        <v>23750</v>
      </c>
    </row>
    <row r="64" spans="1:8">
      <c r="A64" s="97"/>
      <c r="B64" s="96" t="s">
        <v>34</v>
      </c>
      <c r="C64" s="97"/>
      <c r="D64" s="97"/>
      <c r="E64" s="101">
        <f>H63</f>
        <v>23750</v>
      </c>
      <c r="F64" s="97">
        <v>1.18</v>
      </c>
      <c r="G64" s="97">
        <v>0.28999999999999998</v>
      </c>
      <c r="H64" s="98">
        <f>E64*F64*G64</f>
        <v>8127.2499999999991</v>
      </c>
    </row>
    <row r="65" spans="1:8">
      <c r="A65" s="97"/>
      <c r="B65" s="96" t="s">
        <v>35</v>
      </c>
      <c r="C65" s="97"/>
      <c r="D65" s="97"/>
      <c r="E65" s="97"/>
      <c r="F65" s="97"/>
      <c r="G65" s="97"/>
      <c r="H65" s="102">
        <f>SUM(H61:H64)</f>
        <v>866662.25</v>
      </c>
    </row>
    <row r="68" spans="1:8">
      <c r="H68" s="21">
        <f>H24+H39+H51+H58+H65+H33</f>
        <v>6730486.9689454548</v>
      </c>
    </row>
  </sheetData>
  <mergeCells count="16">
    <mergeCell ref="O20:O21"/>
    <mergeCell ref="J4:K4"/>
    <mergeCell ref="L4:M4"/>
    <mergeCell ref="N4:N5"/>
    <mergeCell ref="J20:J21"/>
    <mergeCell ref="K20:K21"/>
    <mergeCell ref="L20:L21"/>
    <mergeCell ref="M20:M21"/>
    <mergeCell ref="N20:N21"/>
    <mergeCell ref="B29:C29"/>
    <mergeCell ref="H4:I4"/>
    <mergeCell ref="A4:A5"/>
    <mergeCell ref="B4:B5"/>
    <mergeCell ref="C4:D4"/>
    <mergeCell ref="E4:E5"/>
    <mergeCell ref="F4:G4"/>
  </mergeCells>
  <pageMargins left="0.7" right="0.7" top="0.75" bottom="0.75" header="0.3" footer="0.3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7"/>
  <sheetViews>
    <sheetView tabSelected="1" view="pageBreakPreview" topLeftCell="J58" zoomScaleSheetLayoutView="100" workbookViewId="0">
      <selection activeCell="J28" sqref="J28"/>
    </sheetView>
  </sheetViews>
  <sheetFormatPr defaultRowHeight="15"/>
  <cols>
    <col min="1" max="1" width="15.5703125" customWidth="1"/>
    <col min="2" max="2" width="13.85546875" customWidth="1"/>
    <col min="3" max="3" width="10.85546875" customWidth="1"/>
    <col min="4" max="4" width="8.85546875" customWidth="1"/>
    <col min="5" max="5" width="9.42578125" customWidth="1"/>
    <col min="6" max="6" width="9.7109375" customWidth="1"/>
    <col min="7" max="7" width="12" customWidth="1"/>
    <col min="8" max="8" width="12.28515625" customWidth="1"/>
    <col min="9" max="9" width="14.140625" customWidth="1"/>
    <col min="10" max="10" width="15" customWidth="1"/>
    <col min="11" max="12" width="12.140625" customWidth="1"/>
    <col min="13" max="13" width="13.42578125" customWidth="1"/>
    <col min="14" max="14" width="14.140625" customWidth="1"/>
    <col min="15" max="15" width="10.28515625" customWidth="1"/>
    <col min="16" max="16" width="12" customWidth="1"/>
    <col min="17" max="17" width="10.42578125" customWidth="1"/>
    <col min="18" max="18" width="13.5703125" customWidth="1"/>
    <col min="19" max="19" width="13.28515625" customWidth="1"/>
    <col min="20" max="20" width="16" customWidth="1"/>
    <col min="21" max="21" width="15.7109375" customWidth="1"/>
    <col min="22" max="22" width="10.7109375" customWidth="1"/>
    <col min="23" max="23" width="14.5703125" customWidth="1"/>
  </cols>
  <sheetData>
    <row r="1" spans="1:23" ht="23.25">
      <c r="A1" s="120" t="s">
        <v>42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</row>
    <row r="2" spans="1:2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</row>
    <row r="3" spans="1:23" ht="102">
      <c r="A3" s="24" t="s">
        <v>43</v>
      </c>
      <c r="B3" s="25" t="s">
        <v>44</v>
      </c>
      <c r="C3" s="26" t="s">
        <v>45</v>
      </c>
      <c r="D3" s="26" t="s">
        <v>46</v>
      </c>
      <c r="E3" s="26" t="s">
        <v>47</v>
      </c>
      <c r="F3" s="26" t="s">
        <v>46</v>
      </c>
      <c r="G3" s="26" t="s">
        <v>48</v>
      </c>
      <c r="H3" s="26" t="s">
        <v>49</v>
      </c>
      <c r="I3" s="26" t="s">
        <v>50</v>
      </c>
      <c r="J3" s="26" t="s">
        <v>51</v>
      </c>
      <c r="K3" s="26" t="s">
        <v>52</v>
      </c>
      <c r="L3" s="26" t="s">
        <v>53</v>
      </c>
      <c r="M3" s="26" t="s">
        <v>46</v>
      </c>
      <c r="N3" s="27" t="s">
        <v>54</v>
      </c>
      <c r="O3" s="27" t="s">
        <v>46</v>
      </c>
      <c r="P3" s="26" t="s">
        <v>55</v>
      </c>
      <c r="Q3" s="26" t="s">
        <v>46</v>
      </c>
      <c r="R3" s="26" t="s">
        <v>56</v>
      </c>
      <c r="S3" s="26" t="s">
        <v>57</v>
      </c>
      <c r="T3" s="26" t="s">
        <v>46</v>
      </c>
      <c r="U3" s="26" t="s">
        <v>58</v>
      </c>
    </row>
    <row r="4" spans="1:23" ht="30">
      <c r="A4" s="28" t="s">
        <v>28</v>
      </c>
      <c r="B4" s="29"/>
      <c r="C4" s="30">
        <v>1352</v>
      </c>
      <c r="D4" s="31"/>
      <c r="E4" s="30">
        <v>17223</v>
      </c>
      <c r="F4" s="32"/>
      <c r="G4" s="32"/>
      <c r="H4" s="32"/>
      <c r="I4" s="32"/>
      <c r="J4" s="32">
        <v>6014</v>
      </c>
      <c r="K4" s="32">
        <v>5198</v>
      </c>
      <c r="L4" s="32"/>
      <c r="M4" s="32"/>
      <c r="N4" s="33">
        <v>16725</v>
      </c>
      <c r="O4" s="33"/>
      <c r="P4" s="32">
        <v>53</v>
      </c>
      <c r="Q4" s="32"/>
      <c r="R4" s="34"/>
      <c r="S4" s="34"/>
      <c r="T4" s="19"/>
      <c r="U4" s="35">
        <f>C4+E4+G4+K4+N4+V4+P4+R4+S4+J4</f>
        <v>46565</v>
      </c>
    </row>
    <row r="5" spans="1:23" ht="30">
      <c r="A5" s="28" t="s">
        <v>59</v>
      </c>
      <c r="B5" s="36"/>
      <c r="C5" s="37">
        <v>13800</v>
      </c>
      <c r="D5" s="38"/>
      <c r="E5" s="39">
        <v>10424</v>
      </c>
      <c r="F5" s="38"/>
      <c r="G5" s="40"/>
      <c r="H5" s="40"/>
      <c r="I5" s="40"/>
      <c r="J5" s="40">
        <v>9063</v>
      </c>
      <c r="K5" s="40"/>
      <c r="L5" s="40"/>
      <c r="M5" s="40"/>
      <c r="N5" s="41">
        <v>10709.2</v>
      </c>
      <c r="O5" s="41"/>
      <c r="P5" s="41">
        <v>2500</v>
      </c>
      <c r="Q5" s="41"/>
      <c r="R5" s="41">
        <v>33600</v>
      </c>
      <c r="S5" s="41">
        <v>13800</v>
      </c>
      <c r="T5" s="42"/>
      <c r="U5" s="35">
        <f>C5+E5+G5+K5+N5+V5+P5+R5+S5+J5</f>
        <v>93896.2</v>
      </c>
    </row>
    <row r="6" spans="1:23" s="52" customFormat="1" ht="30">
      <c r="A6" s="28" t="s">
        <v>60</v>
      </c>
      <c r="B6" s="43"/>
      <c r="C6" s="44">
        <f>SUM(C4:C5)</f>
        <v>15152</v>
      </c>
      <c r="D6" s="45"/>
      <c r="E6" s="46">
        <f>SUM(E4:E5)</f>
        <v>27647</v>
      </c>
      <c r="F6" s="47"/>
      <c r="G6" s="45"/>
      <c r="H6" s="45"/>
      <c r="I6" s="45"/>
      <c r="J6" s="45">
        <f>SUM(J4:J5)</f>
        <v>15077</v>
      </c>
      <c r="K6" s="45">
        <f>SUM(K4:K5)</f>
        <v>5198</v>
      </c>
      <c r="L6" s="45"/>
      <c r="M6" s="45"/>
      <c r="N6" s="45">
        <f>SUM(N4:N5)</f>
        <v>27434.2</v>
      </c>
      <c r="O6" s="45"/>
      <c r="P6" s="45">
        <f>SUM(P4:P5)</f>
        <v>2553</v>
      </c>
      <c r="Q6" s="45"/>
      <c r="R6" s="48">
        <f>SUM(R4:R5)</f>
        <v>33600</v>
      </c>
      <c r="S6" s="48">
        <f>SUM(S4:S5)</f>
        <v>13800</v>
      </c>
      <c r="T6" s="49"/>
      <c r="U6" s="50">
        <f>C6+E6+G6+K6+N6+V6+P6+R6+S6+J6</f>
        <v>140461.20000000001</v>
      </c>
      <c r="V6" s="51"/>
    </row>
    <row r="7" spans="1:23" ht="15.75">
      <c r="A7" s="28" t="s">
        <v>61</v>
      </c>
      <c r="B7" s="29"/>
      <c r="C7" s="44">
        <v>13475</v>
      </c>
      <c r="D7" s="45"/>
      <c r="E7" s="46">
        <v>39950</v>
      </c>
      <c r="F7" s="47"/>
      <c r="G7" s="45"/>
      <c r="H7" s="45"/>
      <c r="I7" s="45"/>
      <c r="J7" s="45">
        <v>36667</v>
      </c>
      <c r="K7" s="45">
        <v>7416</v>
      </c>
      <c r="L7" s="45"/>
      <c r="M7" s="45"/>
      <c r="N7" s="45">
        <v>36826</v>
      </c>
      <c r="O7" s="45"/>
      <c r="P7" s="45">
        <v>4570</v>
      </c>
      <c r="Q7" s="45"/>
      <c r="R7" s="48">
        <v>27346</v>
      </c>
      <c r="S7" s="48">
        <v>25041</v>
      </c>
      <c r="T7" s="40"/>
      <c r="U7" s="35">
        <f>C7+E7+G7+K7+N7+V7+P7+R7+S7+J7</f>
        <v>191291</v>
      </c>
    </row>
    <row r="8" spans="1:23" s="61" customFormat="1" ht="15.75">
      <c r="A8" s="53" t="s">
        <v>62</v>
      </c>
      <c r="B8" s="54"/>
      <c r="C8" s="55"/>
      <c r="D8" s="56">
        <f>C6-C7</f>
        <v>1677</v>
      </c>
      <c r="E8" s="55"/>
      <c r="F8" s="57">
        <f>E6-E7</f>
        <v>-12303</v>
      </c>
      <c r="G8" s="57"/>
      <c r="H8" s="57"/>
      <c r="I8" s="57"/>
      <c r="J8" s="58">
        <f>J6-J7</f>
        <v>-21590</v>
      </c>
      <c r="K8" s="57"/>
      <c r="L8" s="57"/>
      <c r="M8" s="57">
        <f>K6-K7</f>
        <v>-2218</v>
      </c>
      <c r="N8" s="57"/>
      <c r="O8" s="57">
        <f>N6-N7</f>
        <v>-9391.7999999999993</v>
      </c>
      <c r="P8" s="57"/>
      <c r="Q8" s="57">
        <f>P6-P7</f>
        <v>-2017</v>
      </c>
      <c r="R8" s="57">
        <f>R6-R7</f>
        <v>6254</v>
      </c>
      <c r="S8" s="57">
        <f>S6-S7</f>
        <v>-11241</v>
      </c>
      <c r="T8" s="59">
        <f>R8+S8</f>
        <v>-4987</v>
      </c>
      <c r="U8" s="60">
        <f>D8+F8+M8+O8+Q8+T8+J8</f>
        <v>-50829.8</v>
      </c>
    </row>
    <row r="9" spans="1:23" ht="15.75">
      <c r="A9" s="28"/>
      <c r="B9" s="29"/>
      <c r="C9" s="4"/>
      <c r="D9" s="4"/>
      <c r="E9" s="4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62"/>
      <c r="S9" s="62"/>
      <c r="T9" s="16"/>
      <c r="U9" s="63"/>
    </row>
    <row r="10" spans="1:23" ht="15.75">
      <c r="A10" s="28"/>
      <c r="B10" s="29"/>
      <c r="C10" s="4"/>
      <c r="D10" s="4"/>
      <c r="E10" s="4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62"/>
      <c r="S10" s="62"/>
      <c r="T10" s="16"/>
      <c r="U10" s="63"/>
    </row>
    <row r="11" spans="1:23" ht="16.5">
      <c r="A11" s="64" t="s">
        <v>63</v>
      </c>
      <c r="B11" s="65">
        <v>1028</v>
      </c>
      <c r="C11" s="66" t="s">
        <v>64</v>
      </c>
      <c r="D11" s="67">
        <f>ROUND($D$8/($B$36-$B$35-$B$29-$B$21-$B$16)*B11,0)</f>
        <v>61</v>
      </c>
      <c r="E11" s="66" t="s">
        <v>64</v>
      </c>
      <c r="F11" s="66"/>
      <c r="G11" s="66" t="s">
        <v>64</v>
      </c>
      <c r="H11" s="66"/>
      <c r="I11" s="68"/>
      <c r="J11" s="69">
        <f>J8/(H36+I36)*(H11+I1)</f>
        <v>0</v>
      </c>
      <c r="K11" s="66" t="s">
        <v>64</v>
      </c>
      <c r="L11" s="66">
        <v>1</v>
      </c>
      <c r="M11" s="69">
        <f>M8/L36*L11</f>
        <v>-18.330578512396695</v>
      </c>
      <c r="N11" s="70" t="s">
        <v>65</v>
      </c>
      <c r="O11" s="70"/>
      <c r="P11" s="70" t="s">
        <v>65</v>
      </c>
      <c r="Q11" s="70"/>
      <c r="R11" s="71" t="s">
        <v>64</v>
      </c>
      <c r="S11" s="72" t="s">
        <v>64</v>
      </c>
      <c r="T11" s="73">
        <f>T8/B36*B11</f>
        <v>-162.05070173220381</v>
      </c>
      <c r="U11" s="74">
        <f>D11+F11+M11+O11+Q11+T11+J11</f>
        <v>-119.3812802446005</v>
      </c>
    </row>
    <row r="12" spans="1:23" ht="16.5">
      <c r="A12" s="64" t="s">
        <v>66</v>
      </c>
      <c r="B12" s="65">
        <v>435</v>
      </c>
      <c r="C12" s="66" t="s">
        <v>64</v>
      </c>
      <c r="D12" s="67">
        <f t="shared" ref="D12:D15" si="0">ROUND($D$8/($B$36-$B$35-$B$29-$B$21-$B$16)*B12,0)</f>
        <v>26</v>
      </c>
      <c r="E12" s="66" t="s">
        <v>64</v>
      </c>
      <c r="F12" s="66"/>
      <c r="G12" s="66" t="s">
        <v>64</v>
      </c>
      <c r="H12" s="66"/>
      <c r="I12" s="68"/>
      <c r="J12" s="69">
        <f>J8/(H36+I36)*(H12+I12)</f>
        <v>0</v>
      </c>
      <c r="K12" s="66" t="s">
        <v>64</v>
      </c>
      <c r="L12" s="66"/>
      <c r="M12" s="66"/>
      <c r="N12" s="70" t="s">
        <v>65</v>
      </c>
      <c r="O12" s="70"/>
      <c r="P12" s="70" t="s">
        <v>65</v>
      </c>
      <c r="Q12" s="70"/>
      <c r="R12" s="71" t="s">
        <v>64</v>
      </c>
      <c r="S12" s="72" t="s">
        <v>64</v>
      </c>
      <c r="T12" s="73">
        <f>T8/B36*B12</f>
        <v>-68.572038184346951</v>
      </c>
      <c r="U12" s="74">
        <f t="shared" ref="U12:U35" si="1">D12+F12+M12+O12+Q12+T12+J12</f>
        <v>-42.572038184346951</v>
      </c>
    </row>
    <row r="13" spans="1:23" ht="16.5">
      <c r="A13" s="64" t="s">
        <v>20</v>
      </c>
      <c r="B13" s="65">
        <v>13508</v>
      </c>
      <c r="C13" s="66" t="s">
        <v>64</v>
      </c>
      <c r="D13" s="67">
        <f>ROUND($D$8/($B$36-$B$35-$B$29-$B$21-$B$16)*B13,0)+1</f>
        <v>806</v>
      </c>
      <c r="E13" s="66" t="s">
        <v>64</v>
      </c>
      <c r="F13" s="66">
        <v>-12303</v>
      </c>
      <c r="G13" s="66" t="s">
        <v>64</v>
      </c>
      <c r="H13" s="66">
        <v>10.9315</v>
      </c>
      <c r="I13" s="68">
        <v>23.2685</v>
      </c>
      <c r="J13" s="106">
        <v>-17947</v>
      </c>
      <c r="K13" s="66" t="s">
        <v>64</v>
      </c>
      <c r="L13" s="66">
        <v>76</v>
      </c>
      <c r="M13" s="69">
        <f>M8/L36*L13</f>
        <v>-1393.1239669421489</v>
      </c>
      <c r="N13" s="66" t="s">
        <v>64</v>
      </c>
      <c r="O13" s="66">
        <v>-9392</v>
      </c>
      <c r="P13" s="66" t="s">
        <v>64</v>
      </c>
      <c r="Q13" s="66">
        <v>-2017</v>
      </c>
      <c r="R13" s="71" t="s">
        <v>64</v>
      </c>
      <c r="S13" s="72" t="s">
        <v>64</v>
      </c>
      <c r="T13" s="73">
        <f>T8/B36*B13</f>
        <v>-2129.3588317107092</v>
      </c>
      <c r="U13" s="108">
        <f t="shared" si="1"/>
        <v>-44375.482798652854</v>
      </c>
    </row>
    <row r="14" spans="1:23" ht="16.5">
      <c r="A14" s="64" t="s">
        <v>67</v>
      </c>
      <c r="B14" s="65">
        <v>442</v>
      </c>
      <c r="C14" s="66" t="s">
        <v>64</v>
      </c>
      <c r="D14" s="67">
        <f t="shared" si="0"/>
        <v>26</v>
      </c>
      <c r="E14" s="66" t="s">
        <v>64</v>
      </c>
      <c r="F14" s="66"/>
      <c r="G14" s="66" t="s">
        <v>64</v>
      </c>
      <c r="H14" s="66"/>
      <c r="I14" s="68"/>
      <c r="J14" s="69">
        <f>J8/(H36+I36)*(H14+I14)</f>
        <v>0</v>
      </c>
      <c r="K14" s="66" t="s">
        <v>64</v>
      </c>
      <c r="L14" s="66"/>
      <c r="M14" s="66"/>
      <c r="N14" s="70" t="s">
        <v>65</v>
      </c>
      <c r="O14" s="70"/>
      <c r="P14" s="70" t="s">
        <v>65</v>
      </c>
      <c r="Q14" s="70"/>
      <c r="R14" s="71" t="s">
        <v>64</v>
      </c>
      <c r="S14" s="72" t="s">
        <v>64</v>
      </c>
      <c r="T14" s="73">
        <f>T8/B36*B14</f>
        <v>-69.675496270072074</v>
      </c>
      <c r="U14" s="74">
        <f t="shared" si="1"/>
        <v>-43.675496270072074</v>
      </c>
    </row>
    <row r="15" spans="1:23" ht="16.5">
      <c r="A15" s="64" t="s">
        <v>15</v>
      </c>
      <c r="B15" s="65">
        <v>936</v>
      </c>
      <c r="C15" s="66" t="s">
        <v>64</v>
      </c>
      <c r="D15" s="67">
        <f t="shared" si="0"/>
        <v>56</v>
      </c>
      <c r="E15" s="66" t="s">
        <v>64</v>
      </c>
      <c r="F15" s="66"/>
      <c r="G15" s="66" t="s">
        <v>64</v>
      </c>
      <c r="H15" s="66">
        <v>1.8571</v>
      </c>
      <c r="I15" s="68">
        <v>0.7429</v>
      </c>
      <c r="J15" s="95">
        <v>-802</v>
      </c>
      <c r="K15" s="66" t="s">
        <v>64</v>
      </c>
      <c r="L15" s="66">
        <v>2</v>
      </c>
      <c r="M15" s="69">
        <f>M8/L36*L15</f>
        <v>-36.66115702479339</v>
      </c>
      <c r="N15" s="70" t="s">
        <v>65</v>
      </c>
      <c r="O15" s="70"/>
      <c r="P15" s="70" t="s">
        <v>65</v>
      </c>
      <c r="Q15" s="70"/>
      <c r="R15" s="71" t="s">
        <v>64</v>
      </c>
      <c r="S15" s="72" t="s">
        <v>64</v>
      </c>
      <c r="T15" s="73">
        <f>T8/B36*B15</f>
        <v>-147.5481097483879</v>
      </c>
      <c r="U15" s="74">
        <f t="shared" si="1"/>
        <v>-930.2092667731813</v>
      </c>
    </row>
    <row r="16" spans="1:23" ht="16.5">
      <c r="A16" s="64" t="s">
        <v>68</v>
      </c>
      <c r="B16" s="65">
        <v>639</v>
      </c>
      <c r="C16" s="70" t="s">
        <v>65</v>
      </c>
      <c r="D16" s="75"/>
      <c r="E16" s="70" t="s">
        <v>65</v>
      </c>
      <c r="F16" s="70"/>
      <c r="G16" s="70" t="s">
        <v>65</v>
      </c>
      <c r="H16" s="70"/>
      <c r="I16" s="76"/>
      <c r="J16" s="77"/>
      <c r="K16" s="70" t="s">
        <v>65</v>
      </c>
      <c r="L16" s="70"/>
      <c r="M16" s="70"/>
      <c r="N16" s="70" t="s">
        <v>65</v>
      </c>
      <c r="O16" s="70"/>
      <c r="P16" s="70" t="s">
        <v>65</v>
      </c>
      <c r="Q16" s="70"/>
      <c r="R16" s="71" t="s">
        <v>64</v>
      </c>
      <c r="S16" s="72" t="s">
        <v>64</v>
      </c>
      <c r="T16" s="73">
        <f>T8/B36*B16</f>
        <v>-100.72995953976482</v>
      </c>
      <c r="U16" s="74">
        <f t="shared" si="1"/>
        <v>-100.72995953976482</v>
      </c>
    </row>
    <row r="17" spans="1:21" ht="16.5">
      <c r="A17" s="64" t="s">
        <v>16</v>
      </c>
      <c r="B17" s="65">
        <v>184</v>
      </c>
      <c r="C17" s="66" t="s">
        <v>64</v>
      </c>
      <c r="D17" s="67">
        <f t="shared" ref="D17:D20" si="2">ROUND($D$8/($B$36-$B$35-$B$29-$B$21-$B$16)*B17,0)</f>
        <v>11</v>
      </c>
      <c r="E17" s="78" t="s">
        <v>64</v>
      </c>
      <c r="F17" s="78"/>
      <c r="G17" s="66" t="s">
        <v>64</v>
      </c>
      <c r="H17" s="66">
        <v>1.5</v>
      </c>
      <c r="I17" s="68"/>
      <c r="J17" s="106">
        <v>-7</v>
      </c>
      <c r="K17" s="66" t="s">
        <v>64</v>
      </c>
      <c r="L17" s="66"/>
      <c r="M17" s="66"/>
      <c r="N17" s="70" t="s">
        <v>65</v>
      </c>
      <c r="O17" s="70"/>
      <c r="P17" s="70" t="s">
        <v>65</v>
      </c>
      <c r="Q17" s="70"/>
      <c r="R17" s="71" t="s">
        <v>64</v>
      </c>
      <c r="S17" s="72" t="s">
        <v>64</v>
      </c>
      <c r="T17" s="73">
        <f>T8/B36*B17</f>
        <v>-29.005183967631812</v>
      </c>
      <c r="U17" s="108">
        <f t="shared" si="1"/>
        <v>-25.005183967631812</v>
      </c>
    </row>
    <row r="18" spans="1:21" ht="16.5">
      <c r="A18" s="64" t="s">
        <v>69</v>
      </c>
      <c r="B18" s="65">
        <v>653</v>
      </c>
      <c r="C18" s="66" t="s">
        <v>64</v>
      </c>
      <c r="D18" s="67">
        <f t="shared" si="2"/>
        <v>39</v>
      </c>
      <c r="E18" s="66" t="s">
        <v>64</v>
      </c>
      <c r="F18" s="78"/>
      <c r="G18" s="66" t="s">
        <v>64</v>
      </c>
      <c r="H18" s="66"/>
      <c r="I18" s="68"/>
      <c r="J18" s="69">
        <f>J8/(H36+I36)*(H18+I18)</f>
        <v>0</v>
      </c>
      <c r="K18" s="66" t="s">
        <v>64</v>
      </c>
      <c r="L18" s="66"/>
      <c r="M18" s="66"/>
      <c r="N18" s="70" t="s">
        <v>65</v>
      </c>
      <c r="O18" s="70"/>
      <c r="P18" s="70" t="s">
        <v>65</v>
      </c>
      <c r="Q18" s="70"/>
      <c r="R18" s="71" t="s">
        <v>64</v>
      </c>
      <c r="S18" s="72" t="s">
        <v>64</v>
      </c>
      <c r="T18" s="73">
        <f>T8/B36*B18</f>
        <v>-102.93687571121507</v>
      </c>
      <c r="U18" s="74">
        <f t="shared" si="1"/>
        <v>-63.936875711215066</v>
      </c>
    </row>
    <row r="19" spans="1:21" ht="16.5">
      <c r="A19" s="64" t="s">
        <v>70</v>
      </c>
      <c r="B19" s="65">
        <v>510</v>
      </c>
      <c r="C19" s="66" t="s">
        <v>64</v>
      </c>
      <c r="D19" s="67">
        <f t="shared" si="2"/>
        <v>30</v>
      </c>
      <c r="E19" s="66" t="s">
        <v>64</v>
      </c>
      <c r="F19" s="78"/>
      <c r="G19" s="66" t="s">
        <v>64</v>
      </c>
      <c r="H19" s="66"/>
      <c r="I19" s="68"/>
      <c r="J19" s="69">
        <f>J8/(H36+I36)*(H19+I19)</f>
        <v>0</v>
      </c>
      <c r="K19" s="66" t="s">
        <v>64</v>
      </c>
      <c r="L19" s="66"/>
      <c r="M19" s="66"/>
      <c r="N19" s="70" t="s">
        <v>65</v>
      </c>
      <c r="O19" s="70"/>
      <c r="P19" s="70" t="s">
        <v>65</v>
      </c>
      <c r="Q19" s="70"/>
      <c r="R19" s="71" t="s">
        <v>64</v>
      </c>
      <c r="S19" s="72" t="s">
        <v>64</v>
      </c>
      <c r="T19" s="73">
        <f>T8/B36*B19</f>
        <v>-80.394803388544702</v>
      </c>
      <c r="U19" s="74">
        <f t="shared" si="1"/>
        <v>-50.394803388544702</v>
      </c>
    </row>
    <row r="20" spans="1:21" ht="16.5">
      <c r="A20" s="64" t="s">
        <v>71</v>
      </c>
      <c r="B20" s="65">
        <v>1740</v>
      </c>
      <c r="C20" s="66" t="s">
        <v>64</v>
      </c>
      <c r="D20" s="67">
        <f t="shared" si="2"/>
        <v>104</v>
      </c>
      <c r="E20" s="66" t="s">
        <v>64</v>
      </c>
      <c r="F20" s="78"/>
      <c r="G20" s="66" t="s">
        <v>64</v>
      </c>
      <c r="H20" s="66"/>
      <c r="I20" s="68"/>
      <c r="J20" s="69">
        <f>J8/(H36+I36)*(H20+I20)</f>
        <v>0</v>
      </c>
      <c r="K20" s="66" t="s">
        <v>64</v>
      </c>
      <c r="L20" s="66"/>
      <c r="M20" s="66"/>
      <c r="N20" s="70" t="s">
        <v>65</v>
      </c>
      <c r="O20" s="70"/>
      <c r="P20" s="70" t="s">
        <v>65</v>
      </c>
      <c r="Q20" s="70"/>
      <c r="R20" s="71" t="s">
        <v>64</v>
      </c>
      <c r="S20" s="72" t="s">
        <v>64</v>
      </c>
      <c r="T20" s="73">
        <f>T8/B36*B20</f>
        <v>-274.2881527373878</v>
      </c>
      <c r="U20" s="74">
        <f t="shared" si="1"/>
        <v>-170.2881527373878</v>
      </c>
    </row>
    <row r="21" spans="1:21" ht="16.5">
      <c r="A21" s="64" t="s">
        <v>72</v>
      </c>
      <c r="B21" s="65">
        <v>689</v>
      </c>
      <c r="C21" s="70" t="s">
        <v>65</v>
      </c>
      <c r="D21" s="75"/>
      <c r="E21" s="70" t="s">
        <v>65</v>
      </c>
      <c r="F21" s="70"/>
      <c r="G21" s="70" t="s">
        <v>65</v>
      </c>
      <c r="H21" s="70"/>
      <c r="I21" s="79"/>
      <c r="J21" s="77"/>
      <c r="K21" s="70" t="s">
        <v>65</v>
      </c>
      <c r="L21" s="70"/>
      <c r="M21" s="70"/>
      <c r="N21" s="70" t="s">
        <v>65</v>
      </c>
      <c r="O21" s="70"/>
      <c r="P21" s="70" t="s">
        <v>65</v>
      </c>
      <c r="Q21" s="70"/>
      <c r="R21" s="71" t="s">
        <v>64</v>
      </c>
      <c r="S21" s="72" t="s">
        <v>64</v>
      </c>
      <c r="T21" s="73">
        <f>T8/B36*B21</f>
        <v>-108.61180300922999</v>
      </c>
      <c r="U21" s="74">
        <f t="shared" si="1"/>
        <v>-108.61180300922999</v>
      </c>
    </row>
    <row r="22" spans="1:21" ht="16.5">
      <c r="A22" s="64" t="s">
        <v>73</v>
      </c>
      <c r="B22" s="65">
        <v>728</v>
      </c>
      <c r="C22" s="66" t="s">
        <v>64</v>
      </c>
      <c r="D22" s="67">
        <f t="shared" ref="D22:D28" si="3">ROUND($D$8/($B$36-$B$35-$B$29-$B$21-$B$16)*B22,0)</f>
        <v>43</v>
      </c>
      <c r="E22" s="66" t="s">
        <v>64</v>
      </c>
      <c r="F22" s="66"/>
      <c r="G22" s="66" t="s">
        <v>64</v>
      </c>
      <c r="H22" s="66"/>
      <c r="I22" s="68"/>
      <c r="J22" s="69">
        <f>J8/(H36+I36)*(H22+I22)</f>
        <v>0</v>
      </c>
      <c r="K22" s="66" t="s">
        <v>64</v>
      </c>
      <c r="L22" s="66">
        <v>3</v>
      </c>
      <c r="M22" s="69">
        <f>M8/L36*L22</f>
        <v>-54.991735537190081</v>
      </c>
      <c r="N22" s="70" t="s">
        <v>65</v>
      </c>
      <c r="O22" s="70"/>
      <c r="P22" s="70" t="s">
        <v>65</v>
      </c>
      <c r="Q22" s="70"/>
      <c r="R22" s="71" t="s">
        <v>64</v>
      </c>
      <c r="S22" s="72" t="s">
        <v>64</v>
      </c>
      <c r="T22" s="73">
        <f>T8/B36*B22</f>
        <v>-114.75964091541282</v>
      </c>
      <c r="U22" s="74">
        <f t="shared" si="1"/>
        <v>-126.7513764526029</v>
      </c>
    </row>
    <row r="23" spans="1:21" ht="16.5">
      <c r="A23" s="64" t="s">
        <v>74</v>
      </c>
      <c r="B23" s="65">
        <v>343</v>
      </c>
      <c r="C23" s="66" t="s">
        <v>64</v>
      </c>
      <c r="D23" s="67">
        <f t="shared" si="3"/>
        <v>20</v>
      </c>
      <c r="E23" s="66" t="s">
        <v>64</v>
      </c>
      <c r="F23" s="66"/>
      <c r="G23" s="66" t="s">
        <v>64</v>
      </c>
      <c r="H23" s="66"/>
      <c r="I23" s="68"/>
      <c r="J23" s="69">
        <f>J8/(H36+I36)*(H23+I23)</f>
        <v>0</v>
      </c>
      <c r="K23" s="66" t="s">
        <v>64</v>
      </c>
      <c r="L23" s="66">
        <v>2</v>
      </c>
      <c r="M23" s="69">
        <f>M8/L36*L23</f>
        <v>-36.66115702479339</v>
      </c>
      <c r="N23" s="70" t="s">
        <v>65</v>
      </c>
      <c r="O23" s="70"/>
      <c r="P23" s="70" t="s">
        <v>65</v>
      </c>
      <c r="Q23" s="70"/>
      <c r="R23" s="71" t="s">
        <v>64</v>
      </c>
      <c r="S23" s="72" t="s">
        <v>64</v>
      </c>
      <c r="T23" s="73">
        <f>T8/B36*B23</f>
        <v>-54.06944620053104</v>
      </c>
      <c r="U23" s="74">
        <f t="shared" si="1"/>
        <v>-70.73060322532443</v>
      </c>
    </row>
    <row r="24" spans="1:21" ht="16.5">
      <c r="A24" s="64" t="s">
        <v>75</v>
      </c>
      <c r="B24" s="65">
        <v>441</v>
      </c>
      <c r="C24" s="66" t="s">
        <v>64</v>
      </c>
      <c r="D24" s="67">
        <f t="shared" si="3"/>
        <v>26</v>
      </c>
      <c r="E24" s="66" t="s">
        <v>64</v>
      </c>
      <c r="F24" s="66"/>
      <c r="G24" s="66" t="s">
        <v>64</v>
      </c>
      <c r="H24" s="66"/>
      <c r="I24" s="68"/>
      <c r="J24" s="69">
        <f>J8/(H36+I36)*(H24+I24)</f>
        <v>0</v>
      </c>
      <c r="K24" s="66" t="s">
        <v>64</v>
      </c>
      <c r="L24" s="66"/>
      <c r="M24" s="66"/>
      <c r="N24" s="70" t="s">
        <v>65</v>
      </c>
      <c r="O24" s="70"/>
      <c r="P24" s="70" t="s">
        <v>65</v>
      </c>
      <c r="Q24" s="70"/>
      <c r="R24" s="71" t="s">
        <v>64</v>
      </c>
      <c r="S24" s="72" t="s">
        <v>64</v>
      </c>
      <c r="T24" s="73">
        <f>T8/B36*B24</f>
        <v>-69.517859400682767</v>
      </c>
      <c r="U24" s="74">
        <f t="shared" si="1"/>
        <v>-43.517859400682767</v>
      </c>
    </row>
    <row r="25" spans="1:21" ht="16.5">
      <c r="A25" s="64" t="s">
        <v>17</v>
      </c>
      <c r="B25" s="65">
        <v>569</v>
      </c>
      <c r="C25" s="66" t="s">
        <v>64</v>
      </c>
      <c r="D25" s="67">
        <f t="shared" si="3"/>
        <v>34</v>
      </c>
      <c r="E25" s="66" t="s">
        <v>64</v>
      </c>
      <c r="F25" s="66"/>
      <c r="G25" s="66" t="s">
        <v>64</v>
      </c>
      <c r="H25" s="66">
        <v>2.5083000000000002</v>
      </c>
      <c r="I25" s="68">
        <v>1.7917000000000001</v>
      </c>
      <c r="J25" s="95">
        <v>-299</v>
      </c>
      <c r="K25" s="66" t="s">
        <v>64</v>
      </c>
      <c r="L25" s="66">
        <v>2</v>
      </c>
      <c r="M25" s="69">
        <f>M8/L36*L25</f>
        <v>-36.66115702479339</v>
      </c>
      <c r="N25" s="70" t="s">
        <v>65</v>
      </c>
      <c r="O25" s="70"/>
      <c r="P25" s="70" t="s">
        <v>65</v>
      </c>
      <c r="Q25" s="70"/>
      <c r="R25" s="71" t="s">
        <v>64</v>
      </c>
      <c r="S25" s="72" t="s">
        <v>64</v>
      </c>
      <c r="T25" s="73">
        <f>T8/B36*B25</f>
        <v>-89.695378682513592</v>
      </c>
      <c r="U25" s="74">
        <f t="shared" si="1"/>
        <v>-391.35653570730699</v>
      </c>
    </row>
    <row r="26" spans="1:21" ht="16.5">
      <c r="A26" s="64" t="s">
        <v>21</v>
      </c>
      <c r="B26" s="65">
        <v>767</v>
      </c>
      <c r="C26" s="66" t="s">
        <v>64</v>
      </c>
      <c r="D26" s="67">
        <f t="shared" si="3"/>
        <v>46</v>
      </c>
      <c r="E26" s="66" t="s">
        <v>64</v>
      </c>
      <c r="F26" s="66"/>
      <c r="G26" s="80" t="s">
        <v>64</v>
      </c>
      <c r="H26" s="80"/>
      <c r="I26" s="81">
        <v>2</v>
      </c>
      <c r="J26" s="106">
        <v>42</v>
      </c>
      <c r="K26" s="80" t="s">
        <v>64</v>
      </c>
      <c r="L26" s="80"/>
      <c r="M26" s="80"/>
      <c r="N26" s="70" t="s">
        <v>65</v>
      </c>
      <c r="O26" s="70"/>
      <c r="P26" s="70" t="s">
        <v>65</v>
      </c>
      <c r="Q26" s="70"/>
      <c r="R26" s="71" t="s">
        <v>64</v>
      </c>
      <c r="S26" s="72" t="s">
        <v>64</v>
      </c>
      <c r="T26" s="73">
        <f>T8/B36*B26</f>
        <v>-120.90747882159565</v>
      </c>
      <c r="U26" s="108">
        <f t="shared" si="1"/>
        <v>-32.907478821595646</v>
      </c>
    </row>
    <row r="27" spans="1:21" ht="16.5">
      <c r="A27" s="64" t="s">
        <v>18</v>
      </c>
      <c r="B27" s="65">
        <v>346</v>
      </c>
      <c r="C27" s="66" t="s">
        <v>64</v>
      </c>
      <c r="D27" s="67">
        <f t="shared" si="3"/>
        <v>21</v>
      </c>
      <c r="E27" s="66" t="s">
        <v>64</v>
      </c>
      <c r="F27" s="66"/>
      <c r="G27" s="66" t="s">
        <v>64</v>
      </c>
      <c r="H27" s="66">
        <v>2.1364000000000001</v>
      </c>
      <c r="I27" s="68">
        <v>2.5636000000000001</v>
      </c>
      <c r="J27" s="106">
        <v>-891</v>
      </c>
      <c r="K27" s="66" t="s">
        <v>64</v>
      </c>
      <c r="L27" s="66"/>
      <c r="M27" s="66"/>
      <c r="N27" s="70" t="s">
        <v>65</v>
      </c>
      <c r="O27" s="70"/>
      <c r="P27" s="70" t="s">
        <v>65</v>
      </c>
      <c r="Q27" s="70"/>
      <c r="R27" s="71" t="s">
        <v>64</v>
      </c>
      <c r="S27" s="72" t="s">
        <v>64</v>
      </c>
      <c r="T27" s="73">
        <f>T8/B36*B27</f>
        <v>-54.542356808698948</v>
      </c>
      <c r="U27" s="108">
        <f t="shared" si="1"/>
        <v>-924.54235680869897</v>
      </c>
    </row>
    <row r="28" spans="1:21" ht="16.5">
      <c r="A28" s="64" t="s">
        <v>76</v>
      </c>
      <c r="B28" s="65">
        <v>399</v>
      </c>
      <c r="C28" s="66" t="s">
        <v>64</v>
      </c>
      <c r="D28" s="67">
        <f t="shared" si="3"/>
        <v>24</v>
      </c>
      <c r="E28" s="66" t="s">
        <v>64</v>
      </c>
      <c r="F28" s="66"/>
      <c r="G28" s="66" t="s">
        <v>64</v>
      </c>
      <c r="H28" s="66"/>
      <c r="I28" s="68"/>
      <c r="J28" s="69">
        <f>J8/(H36+I36)*(H28+I28)</f>
        <v>0</v>
      </c>
      <c r="K28" s="66" t="s">
        <v>64</v>
      </c>
      <c r="L28" s="66"/>
      <c r="M28" s="66"/>
      <c r="N28" s="70" t="s">
        <v>65</v>
      </c>
      <c r="O28" s="70"/>
      <c r="P28" s="70" t="s">
        <v>65</v>
      </c>
      <c r="Q28" s="70"/>
      <c r="R28" s="71" t="s">
        <v>64</v>
      </c>
      <c r="S28" s="72" t="s">
        <v>64</v>
      </c>
      <c r="T28" s="73">
        <f>T8/B36*B28</f>
        <v>-62.89711088633203</v>
      </c>
      <c r="U28" s="74">
        <f t="shared" si="1"/>
        <v>-38.89711088633203</v>
      </c>
    </row>
    <row r="29" spans="1:21" ht="16.5">
      <c r="A29" s="64" t="s">
        <v>77</v>
      </c>
      <c r="B29" s="65">
        <v>68</v>
      </c>
      <c r="C29" s="70" t="s">
        <v>65</v>
      </c>
      <c r="D29" s="75"/>
      <c r="E29" s="70" t="s">
        <v>65</v>
      </c>
      <c r="F29" s="70"/>
      <c r="G29" s="70" t="s">
        <v>65</v>
      </c>
      <c r="H29" s="70"/>
      <c r="I29" s="79"/>
      <c r="J29" s="77"/>
      <c r="K29" s="70" t="s">
        <v>65</v>
      </c>
      <c r="L29" s="70"/>
      <c r="M29" s="70"/>
      <c r="N29" s="70" t="s">
        <v>65</v>
      </c>
      <c r="O29" s="70"/>
      <c r="P29" s="70" t="s">
        <v>65</v>
      </c>
      <c r="Q29" s="70"/>
      <c r="R29" s="71" t="s">
        <v>64</v>
      </c>
      <c r="S29" s="72" t="s">
        <v>64</v>
      </c>
      <c r="T29" s="73">
        <f>T8/B36*B29</f>
        <v>-10.719307118472626</v>
      </c>
      <c r="U29" s="74">
        <f t="shared" si="1"/>
        <v>-10.719307118472626</v>
      </c>
    </row>
    <row r="30" spans="1:21" ht="16.5">
      <c r="A30" s="64" t="s">
        <v>78</v>
      </c>
      <c r="B30" s="65">
        <v>2369</v>
      </c>
      <c r="C30" s="66" t="s">
        <v>64</v>
      </c>
      <c r="D30" s="67">
        <f t="shared" ref="D30:D34" si="4">ROUND($D$8/($B$36-$B$35-$B$29-$B$21-$B$16)*B30,0)</f>
        <v>141</v>
      </c>
      <c r="E30" s="70" t="s">
        <v>65</v>
      </c>
      <c r="F30" s="70"/>
      <c r="G30" s="70" t="s">
        <v>65</v>
      </c>
      <c r="H30" s="70"/>
      <c r="I30" s="79"/>
      <c r="J30" s="77"/>
      <c r="K30" s="66" t="s">
        <v>64</v>
      </c>
      <c r="L30" s="66">
        <v>26</v>
      </c>
      <c r="M30" s="69">
        <f>M8/L36*L30</f>
        <v>-476.59504132231405</v>
      </c>
      <c r="N30" s="70" t="s">
        <v>65</v>
      </c>
      <c r="O30" s="70"/>
      <c r="P30" s="70" t="s">
        <v>65</v>
      </c>
      <c r="Q30" s="70"/>
      <c r="R30" s="71" t="s">
        <v>64</v>
      </c>
      <c r="S30" s="72" t="s">
        <v>64</v>
      </c>
      <c r="T30" s="73">
        <f>T8/B36*B30</f>
        <v>-373.44174358325955</v>
      </c>
      <c r="U30" s="74">
        <f t="shared" si="1"/>
        <v>-709.03678490557354</v>
      </c>
    </row>
    <row r="31" spans="1:21" ht="16.5">
      <c r="A31" s="64" t="s">
        <v>79</v>
      </c>
      <c r="B31" s="65">
        <v>162</v>
      </c>
      <c r="C31" s="66" t="s">
        <v>64</v>
      </c>
      <c r="D31" s="67">
        <f t="shared" si="4"/>
        <v>10</v>
      </c>
      <c r="E31" s="66" t="s">
        <v>64</v>
      </c>
      <c r="F31" s="66"/>
      <c r="G31" s="66" t="s">
        <v>64</v>
      </c>
      <c r="H31" s="66"/>
      <c r="I31" s="68"/>
      <c r="J31" s="69">
        <f>J8/(H36+I36)*(H31+I31)</f>
        <v>0</v>
      </c>
      <c r="K31" s="66" t="s">
        <v>64</v>
      </c>
      <c r="L31" s="66"/>
      <c r="M31" s="66"/>
      <c r="N31" s="70" t="s">
        <v>65</v>
      </c>
      <c r="O31" s="70"/>
      <c r="P31" s="70" t="s">
        <v>65</v>
      </c>
      <c r="Q31" s="70"/>
      <c r="R31" s="71" t="s">
        <v>64</v>
      </c>
      <c r="S31" s="72" t="s">
        <v>64</v>
      </c>
      <c r="T31" s="73">
        <f>T8/B36*B31</f>
        <v>-25.537172841067139</v>
      </c>
      <c r="U31" s="74">
        <f t="shared" si="1"/>
        <v>-15.537172841067139</v>
      </c>
    </row>
    <row r="32" spans="1:21" ht="16.5">
      <c r="A32" s="64" t="s">
        <v>80</v>
      </c>
      <c r="B32" s="65">
        <v>1409</v>
      </c>
      <c r="C32" s="66" t="s">
        <v>64</v>
      </c>
      <c r="D32" s="67">
        <f t="shared" si="4"/>
        <v>84</v>
      </c>
      <c r="E32" s="66" t="s">
        <v>64</v>
      </c>
      <c r="F32" s="66"/>
      <c r="G32" s="66" t="s">
        <v>64</v>
      </c>
      <c r="H32" s="66">
        <v>5.0667</v>
      </c>
      <c r="I32" s="68">
        <v>0.63329999999999997</v>
      </c>
      <c r="J32" s="95">
        <v>-718</v>
      </c>
      <c r="K32" s="66" t="s">
        <v>64</v>
      </c>
      <c r="L32" s="66">
        <v>3</v>
      </c>
      <c r="M32" s="69">
        <f>M8/L36*L32</f>
        <v>-54.991735537190081</v>
      </c>
      <c r="N32" s="70" t="s">
        <v>65</v>
      </c>
      <c r="O32" s="70"/>
      <c r="P32" s="70" t="s">
        <v>65</v>
      </c>
      <c r="Q32" s="70"/>
      <c r="R32" s="71" t="s">
        <v>64</v>
      </c>
      <c r="S32" s="72" t="s">
        <v>64</v>
      </c>
      <c r="T32" s="73">
        <f>T8/B36*B32</f>
        <v>-222.11034896952839</v>
      </c>
      <c r="U32" s="74">
        <f t="shared" si="1"/>
        <v>-911.10208450671848</v>
      </c>
    </row>
    <row r="33" spans="1:23" ht="16.5">
      <c r="A33" s="64" t="s">
        <v>81</v>
      </c>
      <c r="B33" s="65">
        <v>854</v>
      </c>
      <c r="C33" s="66" t="s">
        <v>64</v>
      </c>
      <c r="D33" s="67">
        <f t="shared" si="4"/>
        <v>51</v>
      </c>
      <c r="E33" s="70" t="s">
        <v>65</v>
      </c>
      <c r="F33" s="70"/>
      <c r="G33" s="70" t="s">
        <v>65</v>
      </c>
      <c r="H33" s="70"/>
      <c r="I33" s="79"/>
      <c r="J33" s="77"/>
      <c r="K33" s="66" t="s">
        <v>64</v>
      </c>
      <c r="L33" s="66">
        <v>6</v>
      </c>
      <c r="M33" s="69">
        <f>M8/L36*L33</f>
        <v>-109.98347107438016</v>
      </c>
      <c r="N33" s="70" t="s">
        <v>65</v>
      </c>
      <c r="O33" s="70"/>
      <c r="P33" s="70" t="s">
        <v>65</v>
      </c>
      <c r="Q33" s="70"/>
      <c r="R33" s="71" t="s">
        <v>64</v>
      </c>
      <c r="S33" s="72" t="s">
        <v>64</v>
      </c>
      <c r="T33" s="73">
        <f>T8/B36*B33</f>
        <v>-134.62188645846504</v>
      </c>
      <c r="U33" s="74">
        <f t="shared" si="1"/>
        <v>-193.6053575328452</v>
      </c>
    </row>
    <row r="34" spans="1:23" ht="16.5">
      <c r="A34" s="64" t="s">
        <v>82</v>
      </c>
      <c r="B34" s="65">
        <v>304</v>
      </c>
      <c r="C34" s="66" t="s">
        <v>64</v>
      </c>
      <c r="D34" s="67">
        <f t="shared" si="4"/>
        <v>18</v>
      </c>
      <c r="E34" s="66" t="s">
        <v>64</v>
      </c>
      <c r="F34" s="66"/>
      <c r="G34" s="66" t="s">
        <v>64</v>
      </c>
      <c r="H34" s="66"/>
      <c r="I34" s="68"/>
      <c r="J34" s="69">
        <f>J8/(H36+I36)*(H34+I34)</f>
        <v>0</v>
      </c>
      <c r="K34" s="66" t="s">
        <v>64</v>
      </c>
      <c r="L34" s="66"/>
      <c r="M34" s="66"/>
      <c r="N34" s="70" t="s">
        <v>65</v>
      </c>
      <c r="O34" s="70"/>
      <c r="P34" s="70" t="s">
        <v>65</v>
      </c>
      <c r="Q34" s="70"/>
      <c r="R34" s="71" t="s">
        <v>64</v>
      </c>
      <c r="S34" s="72" t="s">
        <v>64</v>
      </c>
      <c r="T34" s="73">
        <f>T8/B36*B34</f>
        <v>-47.921608294348211</v>
      </c>
      <c r="U34" s="74">
        <f t="shared" si="1"/>
        <v>-29.921608294348211</v>
      </c>
    </row>
    <row r="35" spans="1:23" ht="16.5">
      <c r="A35" s="82" t="s">
        <v>83</v>
      </c>
      <c r="B35" s="83">
        <v>2113</v>
      </c>
      <c r="C35" s="70" t="s">
        <v>65</v>
      </c>
      <c r="D35" s="75"/>
      <c r="E35" s="70" t="s">
        <v>65</v>
      </c>
      <c r="F35" s="70"/>
      <c r="G35" s="70" t="s">
        <v>65</v>
      </c>
      <c r="H35" s="70"/>
      <c r="I35" s="79"/>
      <c r="J35" s="77"/>
      <c r="K35" s="70" t="s">
        <v>65</v>
      </c>
      <c r="L35" s="70"/>
      <c r="M35" s="70"/>
      <c r="N35" s="70" t="s">
        <v>65</v>
      </c>
      <c r="O35" s="70"/>
      <c r="P35" s="70" t="s">
        <v>65</v>
      </c>
      <c r="Q35" s="70"/>
      <c r="R35" s="71" t="s">
        <v>64</v>
      </c>
      <c r="S35" s="72" t="s">
        <v>64</v>
      </c>
      <c r="T35" s="73">
        <f>T8/B36*B35</f>
        <v>-333.0867050195979</v>
      </c>
      <c r="U35" s="74">
        <f t="shared" si="1"/>
        <v>-333.0867050195979</v>
      </c>
      <c r="V35" s="21"/>
    </row>
    <row r="36" spans="1:23" ht="15.75">
      <c r="A36" s="84" t="s">
        <v>84</v>
      </c>
      <c r="B36" s="85">
        <f>SUM(B11:B35)</f>
        <v>31636</v>
      </c>
      <c r="C36" s="86">
        <v>21</v>
      </c>
      <c r="D36" s="87">
        <f>SUM(D11:D35)</f>
        <v>1677</v>
      </c>
      <c r="E36" s="88">
        <v>19</v>
      </c>
      <c r="F36" s="88">
        <f>SUM(F11:F35)</f>
        <v>-12303</v>
      </c>
      <c r="G36" s="88">
        <v>18</v>
      </c>
      <c r="H36" s="88">
        <f>SUM(H11:H35)</f>
        <v>24.000000000000004</v>
      </c>
      <c r="I36" s="88">
        <f>SUM(I11:I35)</f>
        <v>30.999999999999996</v>
      </c>
      <c r="J36" s="88">
        <f>SUM(J11:J35)</f>
        <v>-20622</v>
      </c>
      <c r="K36" s="88">
        <v>21</v>
      </c>
      <c r="L36" s="88">
        <f>SUM(L11:L35)</f>
        <v>121</v>
      </c>
      <c r="M36" s="89">
        <f>SUM(M11:M35)</f>
        <v>-2217.9999999999995</v>
      </c>
      <c r="N36" s="88"/>
      <c r="O36" s="88">
        <f>SUM(O11:O35)</f>
        <v>-9392</v>
      </c>
      <c r="P36" s="88"/>
      <c r="Q36" s="90">
        <f>SUM(Q11:Q35)</f>
        <v>-2017</v>
      </c>
      <c r="R36" s="91">
        <v>25</v>
      </c>
      <c r="S36" s="91">
        <v>25</v>
      </c>
      <c r="T36" s="92">
        <f>SUM(T11:T35)</f>
        <v>-4987.0000000000009</v>
      </c>
      <c r="U36" s="93">
        <f>D36+F36+M36+O36+Q36+T36+J36-2</f>
        <v>-49864</v>
      </c>
    </row>
    <row r="37" spans="1:23">
      <c r="V37" s="94"/>
      <c r="W37" s="94"/>
    </row>
  </sheetData>
  <mergeCells count="1">
    <mergeCell ref="A1:U1"/>
  </mergeCells>
  <pageMargins left="0.7" right="0.7" top="0.75" bottom="0.75" header="0.3" footer="0.3"/>
  <pageSetup paperSize="8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Házis.</vt:lpstr>
      <vt:lpstr>Tagok3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</dc:creator>
  <cp:lastModifiedBy>pedit</cp:lastModifiedBy>
  <cp:lastPrinted>2017-03-17T09:20:49Z</cp:lastPrinted>
  <dcterms:created xsi:type="dcterms:W3CDTF">2017-01-22T16:32:21Z</dcterms:created>
  <dcterms:modified xsi:type="dcterms:W3CDTF">2017-03-22T14:12:15Z</dcterms:modified>
</cp:coreProperties>
</file>